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2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  <sheet name="2021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DaNet">[1]TEHSHEET!$F$2:$F$3</definedName>
    <definedName name="MO_LIST_10">[1]REESTR_MO!$B$63</definedName>
    <definedName name="MONTH">[1]TEHSHEET!$D$2:$D$14</definedName>
    <definedName name="MR_LIST">[1]REESTR_MO!$E$2:$E$45</definedName>
    <definedName name="org">#REF!</definedName>
    <definedName name="type_report">[1]TEHSHEET!$G$2:$G$3</definedName>
    <definedName name="version">[1]Инструкция!$B$3</definedName>
    <definedName name="YEAR">[1]TEHSHEET!$E$2:$E$6</definedName>
  </definedNames>
  <calcPr calcId="145621" iterateDelta="1E-4"/>
</workbook>
</file>

<file path=xl/calcChain.xml><?xml version="1.0" encoding="utf-8"?>
<calcChain xmlns="http://schemas.openxmlformats.org/spreadsheetml/2006/main">
  <c r="F155" i="13" l="1"/>
  <c r="I152" i="13"/>
  <c r="F152" i="13"/>
  <c r="G147" i="13"/>
  <c r="G145" i="13"/>
  <c r="G144" i="13"/>
  <c r="G143" i="13"/>
  <c r="K142" i="13"/>
  <c r="J142" i="13"/>
  <c r="I142" i="13"/>
  <c r="H142" i="13"/>
  <c r="G142" i="13" s="1"/>
  <c r="G141" i="13"/>
  <c r="G140" i="13"/>
  <c r="K139" i="13"/>
  <c r="K137" i="13" s="1"/>
  <c r="K136" i="13" s="1"/>
  <c r="J139" i="13"/>
  <c r="I139" i="13"/>
  <c r="H139" i="13"/>
  <c r="G139" i="13"/>
  <c r="G138" i="13"/>
  <c r="J137" i="13"/>
  <c r="I137" i="13"/>
  <c r="I136" i="13" s="1"/>
  <c r="H137" i="13"/>
  <c r="J136" i="13"/>
  <c r="G135" i="13"/>
  <c r="G134" i="13"/>
  <c r="G133" i="13"/>
  <c r="K132" i="13"/>
  <c r="J132" i="13"/>
  <c r="J130" i="13" s="1"/>
  <c r="I132" i="13"/>
  <c r="H132" i="13"/>
  <c r="G131" i="13"/>
  <c r="K130" i="13"/>
  <c r="I130" i="13"/>
  <c r="H130" i="13"/>
  <c r="I127" i="13"/>
  <c r="I149" i="13" s="1"/>
  <c r="G127" i="13"/>
  <c r="G125" i="13"/>
  <c r="G123" i="13"/>
  <c r="G122" i="13"/>
  <c r="G121" i="13"/>
  <c r="K120" i="13"/>
  <c r="J120" i="13"/>
  <c r="G120" i="13" s="1"/>
  <c r="I120" i="13"/>
  <c r="H120" i="13"/>
  <c r="G119" i="13"/>
  <c r="G118" i="13"/>
  <c r="G117" i="13"/>
  <c r="G116" i="13"/>
  <c r="G115" i="13"/>
  <c r="G114" i="13"/>
  <c r="K113" i="13"/>
  <c r="J113" i="13"/>
  <c r="I113" i="13"/>
  <c r="I106" i="13" s="1"/>
  <c r="I104" i="13" s="1"/>
  <c r="I103" i="13" s="1"/>
  <c r="H113" i="13"/>
  <c r="G113" i="13" s="1"/>
  <c r="G112" i="13"/>
  <c r="G111" i="13"/>
  <c r="K110" i="13"/>
  <c r="J110" i="13"/>
  <c r="I110" i="13"/>
  <c r="H110" i="13"/>
  <c r="G110" i="13" s="1"/>
  <c r="G109" i="13"/>
  <c r="G108" i="13"/>
  <c r="K107" i="13"/>
  <c r="K106" i="13" s="1"/>
  <c r="K104" i="13" s="1"/>
  <c r="K103" i="13" s="1"/>
  <c r="J107" i="13"/>
  <c r="I107" i="13"/>
  <c r="H107" i="13"/>
  <c r="G107" i="13"/>
  <c r="J106" i="13"/>
  <c r="H106" i="13"/>
  <c r="G106" i="13" s="1"/>
  <c r="G105" i="13"/>
  <c r="J104" i="13"/>
  <c r="J103" i="13" s="1"/>
  <c r="G102" i="13"/>
  <c r="G101" i="13"/>
  <c r="G100" i="13"/>
  <c r="K99" i="13"/>
  <c r="K97" i="13" s="1"/>
  <c r="J99" i="13"/>
  <c r="I99" i="13"/>
  <c r="H99" i="13"/>
  <c r="H97" i="13" s="1"/>
  <c r="G97" i="13" s="1"/>
  <c r="G99" i="13"/>
  <c r="G98" i="13"/>
  <c r="J97" i="13"/>
  <c r="I97" i="13"/>
  <c r="G95" i="13"/>
  <c r="G94" i="13"/>
  <c r="G93" i="13"/>
  <c r="K89" i="13"/>
  <c r="G88" i="13"/>
  <c r="K87" i="13"/>
  <c r="K90" i="13" s="1"/>
  <c r="J87" i="13"/>
  <c r="I87" i="13"/>
  <c r="H87" i="13"/>
  <c r="G87" i="13" s="1"/>
  <c r="G86" i="13"/>
  <c r="G85" i="13"/>
  <c r="G83" i="13"/>
  <c r="I81" i="13"/>
  <c r="G81" i="13"/>
  <c r="K79" i="13"/>
  <c r="J79" i="13"/>
  <c r="I79" i="13"/>
  <c r="H79" i="13"/>
  <c r="G79" i="13"/>
  <c r="G78" i="13"/>
  <c r="G77" i="13"/>
  <c r="K76" i="13"/>
  <c r="K73" i="13" s="1"/>
  <c r="J76" i="13"/>
  <c r="J73" i="13" s="1"/>
  <c r="H76" i="13"/>
  <c r="G75" i="13"/>
  <c r="G74" i="13"/>
  <c r="H73" i="13"/>
  <c r="G72" i="13"/>
  <c r="G71" i="13"/>
  <c r="I67" i="13"/>
  <c r="H67" i="13"/>
  <c r="J65" i="13"/>
  <c r="G65" i="13" s="1"/>
  <c r="I64" i="13"/>
  <c r="H64" i="13"/>
  <c r="K62" i="13"/>
  <c r="I62" i="13"/>
  <c r="K59" i="13"/>
  <c r="J59" i="13"/>
  <c r="G59" i="13" s="1"/>
  <c r="I59" i="13"/>
  <c r="H59" i="13"/>
  <c r="K56" i="13"/>
  <c r="K54" i="13" s="1"/>
  <c r="J56" i="13"/>
  <c r="I56" i="13"/>
  <c r="H56" i="13"/>
  <c r="G56" i="13"/>
  <c r="G55" i="13"/>
  <c r="I54" i="13"/>
  <c r="K51" i="13"/>
  <c r="H51" i="13"/>
  <c r="K50" i="13"/>
  <c r="J50" i="13"/>
  <c r="J89" i="13" s="1"/>
  <c r="J90" i="13" s="1"/>
  <c r="I50" i="13"/>
  <c r="I89" i="13" s="1"/>
  <c r="G89" i="13" s="1"/>
  <c r="G50" i="13"/>
  <c r="G49" i="13"/>
  <c r="G48" i="13"/>
  <c r="G47" i="13"/>
  <c r="G46" i="13"/>
  <c r="H45" i="13"/>
  <c r="G44" i="13"/>
  <c r="G42" i="13"/>
  <c r="K40" i="13"/>
  <c r="K34" i="13" s="1"/>
  <c r="K128" i="13" s="1"/>
  <c r="J40" i="13"/>
  <c r="I40" i="13"/>
  <c r="H40" i="13"/>
  <c r="G40" i="13"/>
  <c r="G39" i="13"/>
  <c r="G38" i="13"/>
  <c r="I37" i="13"/>
  <c r="I76" i="13" s="1"/>
  <c r="G37" i="13"/>
  <c r="G36" i="13"/>
  <c r="G35" i="13"/>
  <c r="J34" i="13"/>
  <c r="J128" i="13" s="1"/>
  <c r="H34" i="13"/>
  <c r="H128" i="13" s="1"/>
  <c r="G33" i="13"/>
  <c r="G32" i="13"/>
  <c r="I28" i="13"/>
  <c r="H28" i="13"/>
  <c r="G26" i="13"/>
  <c r="J25" i="13"/>
  <c r="J23" i="13" s="1"/>
  <c r="G25" i="13"/>
  <c r="K23" i="13"/>
  <c r="I23" i="13"/>
  <c r="H23" i="13"/>
  <c r="K20" i="13"/>
  <c r="J20" i="13"/>
  <c r="I20" i="13"/>
  <c r="H20" i="13"/>
  <c r="G20" i="13" s="1"/>
  <c r="K17" i="13"/>
  <c r="J17" i="13"/>
  <c r="J15" i="13" s="1"/>
  <c r="I17" i="13"/>
  <c r="G17" i="13" s="1"/>
  <c r="H17" i="13"/>
  <c r="G16" i="13"/>
  <c r="K15" i="13"/>
  <c r="H126" i="13" l="1"/>
  <c r="H150" i="13"/>
  <c r="K126" i="13"/>
  <c r="K124" i="13" s="1"/>
  <c r="K150" i="13"/>
  <c r="K148" i="13" s="1"/>
  <c r="K146" i="13" s="1"/>
  <c r="G149" i="13"/>
  <c r="J150" i="13"/>
  <c r="J148" i="13" s="1"/>
  <c r="J146" i="13" s="1"/>
  <c r="J126" i="13"/>
  <c r="J124" i="13" s="1"/>
  <c r="I90" i="13"/>
  <c r="G130" i="13"/>
  <c r="I73" i="13"/>
  <c r="G76" i="13"/>
  <c r="G23" i="13"/>
  <c r="G73" i="13"/>
  <c r="H84" i="13"/>
  <c r="G132" i="13"/>
  <c r="H15" i="13"/>
  <c r="I15" i="13"/>
  <c r="J29" i="13"/>
  <c r="I51" i="13"/>
  <c r="G51" i="13" s="1"/>
  <c r="J64" i="13"/>
  <c r="J62" i="13" s="1"/>
  <c r="J54" i="13" s="1"/>
  <c r="H90" i="13"/>
  <c r="G90" i="13" s="1"/>
  <c r="H104" i="13"/>
  <c r="H136" i="13"/>
  <c r="G136" i="13" s="1"/>
  <c r="G137" i="13"/>
  <c r="I34" i="13"/>
  <c r="J51" i="13"/>
  <c r="H62" i="13"/>
  <c r="H124" i="13" l="1"/>
  <c r="G64" i="13"/>
  <c r="G104" i="13"/>
  <c r="H103" i="13"/>
  <c r="G103" i="13" s="1"/>
  <c r="J68" i="13"/>
  <c r="J28" i="13"/>
  <c r="G29" i="13"/>
  <c r="G15" i="13"/>
  <c r="H52" i="13"/>
  <c r="G62" i="13"/>
  <c r="I128" i="13"/>
  <c r="J30" i="13"/>
  <c r="G34" i="13"/>
  <c r="I45" i="13"/>
  <c r="H54" i="13"/>
  <c r="H148" i="13"/>
  <c r="G30" i="13" l="1"/>
  <c r="J69" i="13"/>
  <c r="G69" i="13" s="1"/>
  <c r="J67" i="13"/>
  <c r="G68" i="13"/>
  <c r="H146" i="13"/>
  <c r="J45" i="13"/>
  <c r="J84" i="13" s="1"/>
  <c r="J52" i="13"/>
  <c r="K31" i="13"/>
  <c r="I84" i="13"/>
  <c r="I150" i="13"/>
  <c r="I126" i="13"/>
  <c r="G128" i="13"/>
  <c r="H91" i="13"/>
  <c r="G54" i="13"/>
  <c r="I52" i="13"/>
  <c r="I124" i="13" l="1"/>
  <c r="G124" i="13" s="1"/>
  <c r="G126" i="13"/>
  <c r="K70" i="13"/>
  <c r="K45" i="13"/>
  <c r="K28" i="13"/>
  <c r="G31" i="13"/>
  <c r="J91" i="13"/>
  <c r="I91" i="13"/>
  <c r="I148" i="13"/>
  <c r="G150" i="13"/>
  <c r="I146" i="13" l="1"/>
  <c r="G146" i="13" s="1"/>
  <c r="G148" i="13"/>
  <c r="K52" i="13"/>
  <c r="G52" i="13" s="1"/>
  <c r="G28" i="13"/>
  <c r="G70" i="13"/>
  <c r="K67" i="13"/>
  <c r="K84" i="13"/>
  <c r="G84" i="13" s="1"/>
  <c r="G45" i="13"/>
  <c r="K91" i="13" l="1"/>
  <c r="G91" i="13" s="1"/>
  <c r="G67" i="13"/>
  <c r="F155" i="12" l="1"/>
  <c r="I152" i="12"/>
  <c r="F152" i="12"/>
  <c r="G147" i="12"/>
  <c r="G145" i="12"/>
  <c r="G144" i="12"/>
  <c r="G143" i="12"/>
  <c r="K142" i="12"/>
  <c r="J142" i="12"/>
  <c r="I142" i="12"/>
  <c r="G142" i="12" s="1"/>
  <c r="H142" i="12"/>
  <c r="G141" i="12"/>
  <c r="G140" i="12"/>
  <c r="K139" i="12"/>
  <c r="J139" i="12"/>
  <c r="I139" i="12"/>
  <c r="I137" i="12" s="1"/>
  <c r="I136" i="12" s="1"/>
  <c r="H139" i="12"/>
  <c r="H137" i="12" s="1"/>
  <c r="G138" i="12"/>
  <c r="K137" i="12"/>
  <c r="J137" i="12"/>
  <c r="J136" i="12" s="1"/>
  <c r="K136" i="12"/>
  <c r="G135" i="12"/>
  <c r="G134" i="12"/>
  <c r="G133" i="12"/>
  <c r="K132" i="12"/>
  <c r="K130" i="12" s="1"/>
  <c r="J132" i="12"/>
  <c r="I132" i="12"/>
  <c r="H132" i="12"/>
  <c r="H130" i="12" s="1"/>
  <c r="G130" i="12" s="1"/>
  <c r="G132" i="12"/>
  <c r="G131" i="12"/>
  <c r="J130" i="12"/>
  <c r="I130" i="12"/>
  <c r="I127" i="12"/>
  <c r="G127" i="12" s="1"/>
  <c r="G125" i="12"/>
  <c r="G123" i="12"/>
  <c r="G122" i="12"/>
  <c r="G121" i="12"/>
  <c r="K120" i="12"/>
  <c r="J120" i="12"/>
  <c r="I120" i="12"/>
  <c r="H120" i="12"/>
  <c r="G120" i="12"/>
  <c r="G119" i="12"/>
  <c r="G118" i="12"/>
  <c r="G117" i="12"/>
  <c r="G116" i="12"/>
  <c r="G115" i="12"/>
  <c r="G114" i="12"/>
  <c r="K113" i="12"/>
  <c r="J113" i="12"/>
  <c r="I113" i="12"/>
  <c r="H113" i="12"/>
  <c r="G113" i="12" s="1"/>
  <c r="G112" i="12"/>
  <c r="G111" i="12"/>
  <c r="K110" i="12"/>
  <c r="J110" i="12"/>
  <c r="I110" i="12"/>
  <c r="G110" i="12" s="1"/>
  <c r="H110" i="12"/>
  <c r="G109" i="12"/>
  <c r="G108" i="12"/>
  <c r="K107" i="12"/>
  <c r="J107" i="12"/>
  <c r="J106" i="12" s="1"/>
  <c r="J104" i="12" s="1"/>
  <c r="J103" i="12" s="1"/>
  <c r="I107" i="12"/>
  <c r="H107" i="12"/>
  <c r="G107" i="12" s="1"/>
  <c r="K106" i="12"/>
  <c r="I106" i="12"/>
  <c r="I104" i="12" s="1"/>
  <c r="I103" i="12" s="1"/>
  <c r="G105" i="12"/>
  <c r="K104" i="12"/>
  <c r="K103" i="12" s="1"/>
  <c r="G102" i="12"/>
  <c r="G101" i="12"/>
  <c r="G100" i="12"/>
  <c r="K99" i="12"/>
  <c r="J99" i="12"/>
  <c r="I99" i="12"/>
  <c r="I97" i="12" s="1"/>
  <c r="H99" i="12"/>
  <c r="G99" i="12" s="1"/>
  <c r="G98" i="12"/>
  <c r="K97" i="12"/>
  <c r="J97" i="12"/>
  <c r="G95" i="12"/>
  <c r="G94" i="12"/>
  <c r="G93" i="12"/>
  <c r="H90" i="12"/>
  <c r="J89" i="12"/>
  <c r="G88" i="12"/>
  <c r="K87" i="12"/>
  <c r="J87" i="12"/>
  <c r="J90" i="12" s="1"/>
  <c r="I87" i="12"/>
  <c r="H87" i="12"/>
  <c r="G86" i="12"/>
  <c r="G85" i="12"/>
  <c r="G83" i="12"/>
  <c r="I81" i="12"/>
  <c r="G81" i="12"/>
  <c r="K79" i="12"/>
  <c r="J79" i="12"/>
  <c r="I79" i="12"/>
  <c r="H79" i="12"/>
  <c r="G79" i="12" s="1"/>
  <c r="G78" i="12"/>
  <c r="G77" i="12"/>
  <c r="K76" i="12"/>
  <c r="K73" i="12" s="1"/>
  <c r="J76" i="12"/>
  <c r="H76" i="12"/>
  <c r="G75" i="12"/>
  <c r="G74" i="12"/>
  <c r="J73" i="12"/>
  <c r="G72" i="12"/>
  <c r="G71" i="12"/>
  <c r="I67" i="12"/>
  <c r="H67" i="12"/>
  <c r="J65" i="12"/>
  <c r="G65" i="12"/>
  <c r="J64" i="12"/>
  <c r="I64" i="12"/>
  <c r="I62" i="12" s="1"/>
  <c r="H64" i="12"/>
  <c r="K62" i="12"/>
  <c r="J62" i="12"/>
  <c r="H62" i="12"/>
  <c r="G62" i="12" s="1"/>
  <c r="K59" i="12"/>
  <c r="K54" i="12" s="1"/>
  <c r="J59" i="12"/>
  <c r="I59" i="12"/>
  <c r="H59" i="12"/>
  <c r="G59" i="12"/>
  <c r="K56" i="12"/>
  <c r="J56" i="12"/>
  <c r="I56" i="12"/>
  <c r="I54" i="12" s="1"/>
  <c r="H56" i="12"/>
  <c r="G56" i="12" s="1"/>
  <c r="G55" i="12"/>
  <c r="J54" i="12"/>
  <c r="J51" i="12"/>
  <c r="H51" i="12"/>
  <c r="K50" i="12"/>
  <c r="K89" i="12" s="1"/>
  <c r="K90" i="12" s="1"/>
  <c r="J50" i="12"/>
  <c r="I50" i="12"/>
  <c r="I89" i="12" s="1"/>
  <c r="G89" i="12" s="1"/>
  <c r="G49" i="12"/>
  <c r="G48" i="12"/>
  <c r="G47" i="12"/>
  <c r="G46" i="12"/>
  <c r="G44" i="12"/>
  <c r="G42" i="12"/>
  <c r="K40" i="12"/>
  <c r="J40" i="12"/>
  <c r="J34" i="12" s="1"/>
  <c r="J128" i="12" s="1"/>
  <c r="I40" i="12"/>
  <c r="H40" i="12"/>
  <c r="H34" i="12" s="1"/>
  <c r="G39" i="12"/>
  <c r="G38" i="12"/>
  <c r="I37" i="12"/>
  <c r="G37" i="12" s="1"/>
  <c r="G36" i="12"/>
  <c r="G35" i="12"/>
  <c r="K34" i="12"/>
  <c r="K128" i="12" s="1"/>
  <c r="G33" i="12"/>
  <c r="G32" i="12"/>
  <c r="I28" i="12"/>
  <c r="H28" i="12"/>
  <c r="G26" i="12"/>
  <c r="G25" i="12"/>
  <c r="K23" i="12"/>
  <c r="J23" i="12"/>
  <c r="I23" i="12"/>
  <c r="H23" i="12"/>
  <c r="G23" i="12"/>
  <c r="K20" i="12"/>
  <c r="J20" i="12"/>
  <c r="I20" i="12"/>
  <c r="H20" i="12"/>
  <c r="H15" i="12" s="1"/>
  <c r="K17" i="12"/>
  <c r="J17" i="12"/>
  <c r="J15" i="12" s="1"/>
  <c r="I17" i="12"/>
  <c r="I15" i="12" s="1"/>
  <c r="H17" i="12"/>
  <c r="G16" i="12"/>
  <c r="K15" i="12"/>
  <c r="H128" i="12" l="1"/>
  <c r="G34" i="12"/>
  <c r="H45" i="12"/>
  <c r="I90" i="12"/>
  <c r="G90" i="12" s="1"/>
  <c r="G15" i="12"/>
  <c r="H52" i="12"/>
  <c r="K150" i="12"/>
  <c r="K148" i="12" s="1"/>
  <c r="K146" i="12" s="1"/>
  <c r="K126" i="12"/>
  <c r="K124" i="12" s="1"/>
  <c r="J126" i="12"/>
  <c r="J124" i="12" s="1"/>
  <c r="J150" i="12"/>
  <c r="J148" i="12" s="1"/>
  <c r="J146" i="12" s="1"/>
  <c r="G137" i="12"/>
  <c r="H136" i="12"/>
  <c r="G136" i="12" s="1"/>
  <c r="G17" i="12"/>
  <c r="I34" i="12"/>
  <c r="H54" i="12"/>
  <c r="G64" i="12"/>
  <c r="H73" i="12"/>
  <c r="I76" i="12"/>
  <c r="G87" i="12"/>
  <c r="H97" i="12"/>
  <c r="G97" i="12" s="1"/>
  <c r="I149" i="12"/>
  <c r="G20" i="12"/>
  <c r="G40" i="12"/>
  <c r="G50" i="12"/>
  <c r="K51" i="12"/>
  <c r="H106" i="12"/>
  <c r="G139" i="12"/>
  <c r="I51" i="12"/>
  <c r="G51" i="12" s="1"/>
  <c r="G54" i="12" l="1"/>
  <c r="G106" i="12"/>
  <c r="H104" i="12"/>
  <c r="G76" i="12"/>
  <c r="I73" i="12"/>
  <c r="I91" i="12" s="1"/>
  <c r="I128" i="12"/>
  <c r="J30" i="12"/>
  <c r="H150" i="12"/>
  <c r="H126" i="12"/>
  <c r="G149" i="12"/>
  <c r="I45" i="12"/>
  <c r="I84" i="12" s="1"/>
  <c r="G73" i="12"/>
  <c r="J29" i="12"/>
  <c r="H84" i="12"/>
  <c r="I52" i="12"/>
  <c r="J69" i="12" l="1"/>
  <c r="G69" i="12" s="1"/>
  <c r="G30" i="12"/>
  <c r="G104" i="12"/>
  <c r="H103" i="12"/>
  <c r="G103" i="12" s="1"/>
  <c r="H124" i="12"/>
  <c r="I150" i="12"/>
  <c r="I148" i="12" s="1"/>
  <c r="I146" i="12" s="1"/>
  <c r="I126" i="12"/>
  <c r="I124" i="12" s="1"/>
  <c r="H148" i="12"/>
  <c r="G150" i="12"/>
  <c r="H91" i="12"/>
  <c r="J68" i="12"/>
  <c r="J28" i="12"/>
  <c r="G29" i="12"/>
  <c r="G128" i="12"/>
  <c r="J45" i="12" l="1"/>
  <c r="K31" i="12"/>
  <c r="G148" i="12"/>
  <c r="H146" i="12"/>
  <c r="G146" i="12" s="1"/>
  <c r="G126" i="12"/>
  <c r="G68" i="12"/>
  <c r="J67" i="12"/>
  <c r="G124" i="12"/>
  <c r="K70" i="12" l="1"/>
  <c r="K45" i="12"/>
  <c r="K84" i="12" s="1"/>
  <c r="G31" i="12"/>
  <c r="K28" i="12"/>
  <c r="J91" i="12"/>
  <c r="J84" i="12"/>
  <c r="G45" i="12"/>
  <c r="J52" i="12"/>
  <c r="K52" i="12" l="1"/>
  <c r="G28" i="12"/>
  <c r="G84" i="12"/>
  <c r="G52" i="12"/>
  <c r="G70" i="12"/>
  <c r="K67" i="12"/>
  <c r="K91" i="12" l="1"/>
  <c r="G91" i="12" s="1"/>
  <c r="G67" i="12"/>
  <c r="F155" i="11" l="1"/>
  <c r="I152" i="11"/>
  <c r="F152" i="11"/>
  <c r="G147" i="11"/>
  <c r="G145" i="11"/>
  <c r="G144" i="11"/>
  <c r="G143" i="11"/>
  <c r="K142" i="11"/>
  <c r="J142" i="11"/>
  <c r="I142" i="11"/>
  <c r="H142" i="11"/>
  <c r="G142" i="11" s="1"/>
  <c r="G141" i="11"/>
  <c r="G140" i="11"/>
  <c r="K139" i="11"/>
  <c r="K137" i="11" s="1"/>
  <c r="K136" i="11" s="1"/>
  <c r="J139" i="11"/>
  <c r="I139" i="11"/>
  <c r="H139" i="11"/>
  <c r="G139" i="11"/>
  <c r="G138" i="11"/>
  <c r="J137" i="11"/>
  <c r="I137" i="11"/>
  <c r="I136" i="11" s="1"/>
  <c r="H137" i="11"/>
  <c r="J136" i="11"/>
  <c r="G135" i="11"/>
  <c r="G134" i="11"/>
  <c r="G133" i="11"/>
  <c r="K132" i="11"/>
  <c r="J132" i="11"/>
  <c r="J130" i="11" s="1"/>
  <c r="I132" i="11"/>
  <c r="H132" i="11"/>
  <c r="G132" i="11" s="1"/>
  <c r="G131" i="11"/>
  <c r="K130" i="11"/>
  <c r="I130" i="11"/>
  <c r="H130" i="11"/>
  <c r="I127" i="11"/>
  <c r="I149" i="11" s="1"/>
  <c r="G127" i="11"/>
  <c r="G125" i="11"/>
  <c r="G123" i="11"/>
  <c r="G122" i="11"/>
  <c r="G121" i="11"/>
  <c r="K120" i="11"/>
  <c r="J120" i="11"/>
  <c r="I120" i="11"/>
  <c r="H120" i="11"/>
  <c r="G120" i="11" s="1"/>
  <c r="G119" i="11"/>
  <c r="G118" i="11"/>
  <c r="G117" i="11"/>
  <c r="G116" i="11"/>
  <c r="G115" i="11"/>
  <c r="G114" i="11"/>
  <c r="K113" i="11"/>
  <c r="J113" i="11"/>
  <c r="I113" i="11"/>
  <c r="G113" i="11" s="1"/>
  <c r="H113" i="11"/>
  <c r="G112" i="11"/>
  <c r="G111" i="11"/>
  <c r="K110" i="11"/>
  <c r="J110" i="11"/>
  <c r="I110" i="11"/>
  <c r="H110" i="11"/>
  <c r="G110" i="11" s="1"/>
  <c r="G109" i="11"/>
  <c r="G108" i="11"/>
  <c r="K107" i="11"/>
  <c r="K106" i="11" s="1"/>
  <c r="K104" i="11" s="1"/>
  <c r="K103" i="11" s="1"/>
  <c r="J107" i="11"/>
  <c r="I107" i="11"/>
  <c r="I106" i="11" s="1"/>
  <c r="I104" i="11" s="1"/>
  <c r="I103" i="11" s="1"/>
  <c r="H107" i="11"/>
  <c r="G107" i="11"/>
  <c r="J106" i="11"/>
  <c r="H106" i="11"/>
  <c r="G105" i="11"/>
  <c r="J104" i="11"/>
  <c r="J103" i="11" s="1"/>
  <c r="G102" i="11"/>
  <c r="G101" i="11"/>
  <c r="G100" i="11"/>
  <c r="K99" i="11"/>
  <c r="K97" i="11" s="1"/>
  <c r="J99" i="11"/>
  <c r="I99" i="11"/>
  <c r="H99" i="11"/>
  <c r="G99" i="11"/>
  <c r="G98" i="11"/>
  <c r="J97" i="11"/>
  <c r="I97" i="11"/>
  <c r="H97" i="11"/>
  <c r="G95" i="11"/>
  <c r="G94" i="11"/>
  <c r="G93" i="11"/>
  <c r="K89" i="11"/>
  <c r="G88" i="11"/>
  <c r="K87" i="11"/>
  <c r="K90" i="11" s="1"/>
  <c r="J87" i="11"/>
  <c r="I87" i="11"/>
  <c r="H87" i="11"/>
  <c r="G87" i="11" s="1"/>
  <c r="G86" i="11"/>
  <c r="G85" i="11"/>
  <c r="G83" i="11"/>
  <c r="I81" i="11"/>
  <c r="G81" i="11" s="1"/>
  <c r="K79" i="11"/>
  <c r="K73" i="11" s="1"/>
  <c r="J79" i="11"/>
  <c r="I79" i="11"/>
  <c r="H79" i="11"/>
  <c r="G79" i="11"/>
  <c r="G78" i="11"/>
  <c r="G77" i="11"/>
  <c r="K76" i="11"/>
  <c r="J76" i="11"/>
  <c r="J73" i="11" s="1"/>
  <c r="H76" i="11"/>
  <c r="H73" i="11" s="1"/>
  <c r="G75" i="11"/>
  <c r="G74" i="11"/>
  <c r="G72" i="11"/>
  <c r="G71" i="11"/>
  <c r="I67" i="11"/>
  <c r="H67" i="11"/>
  <c r="J65" i="11"/>
  <c r="G65" i="11" s="1"/>
  <c r="I64" i="11"/>
  <c r="H64" i="11"/>
  <c r="K62" i="11"/>
  <c r="I62" i="11"/>
  <c r="K59" i="11"/>
  <c r="J59" i="11"/>
  <c r="I59" i="11"/>
  <c r="H59" i="11"/>
  <c r="K56" i="11"/>
  <c r="K54" i="11" s="1"/>
  <c r="J56" i="11"/>
  <c r="I56" i="11"/>
  <c r="H56" i="11"/>
  <c r="G56" i="11"/>
  <c r="G55" i="11"/>
  <c r="I54" i="11"/>
  <c r="K51" i="11"/>
  <c r="I51" i="11"/>
  <c r="H51" i="11"/>
  <c r="K50" i="11"/>
  <c r="J50" i="11"/>
  <c r="J89" i="11" s="1"/>
  <c r="J90" i="11" s="1"/>
  <c r="I50" i="11"/>
  <c r="I89" i="11" s="1"/>
  <c r="G50" i="11"/>
  <c r="G49" i="11"/>
  <c r="G48" i="11"/>
  <c r="G47" i="11"/>
  <c r="G46" i="11"/>
  <c r="H45" i="11"/>
  <c r="G44" i="11"/>
  <c r="G42" i="11"/>
  <c r="K40" i="11"/>
  <c r="K34" i="11" s="1"/>
  <c r="K128" i="11" s="1"/>
  <c r="J40" i="11"/>
  <c r="I40" i="11"/>
  <c r="I34" i="11" s="1"/>
  <c r="H40" i="11"/>
  <c r="G40" i="11"/>
  <c r="G39" i="11"/>
  <c r="G38" i="11"/>
  <c r="I37" i="11"/>
  <c r="I76" i="11" s="1"/>
  <c r="I73" i="11" s="1"/>
  <c r="G37" i="11"/>
  <c r="G36" i="11"/>
  <c r="G35" i="11"/>
  <c r="J34" i="11"/>
  <c r="J128" i="11" s="1"/>
  <c r="H34" i="11"/>
  <c r="H128" i="11" s="1"/>
  <c r="G33" i="11"/>
  <c r="G32" i="11"/>
  <c r="I28" i="11"/>
  <c r="H28" i="11"/>
  <c r="G26" i="11"/>
  <c r="J25" i="11"/>
  <c r="J23" i="11" s="1"/>
  <c r="K23" i="11"/>
  <c r="I23" i="11"/>
  <c r="H23" i="11"/>
  <c r="K20" i="11"/>
  <c r="J20" i="11"/>
  <c r="J15" i="11" s="1"/>
  <c r="I20" i="11"/>
  <c r="H20" i="11"/>
  <c r="G20" i="11" s="1"/>
  <c r="K17" i="11"/>
  <c r="J17" i="11"/>
  <c r="I17" i="11"/>
  <c r="I15" i="11" s="1"/>
  <c r="H17" i="11"/>
  <c r="G16" i="11"/>
  <c r="K15" i="11"/>
  <c r="K126" i="11" l="1"/>
  <c r="K124" i="11" s="1"/>
  <c r="K150" i="11"/>
  <c r="K148" i="11" s="1"/>
  <c r="K146" i="11" s="1"/>
  <c r="G64" i="11"/>
  <c r="I90" i="11"/>
  <c r="G149" i="11"/>
  <c r="I91" i="11"/>
  <c r="I45" i="11"/>
  <c r="I84" i="11" s="1"/>
  <c r="J150" i="11"/>
  <c r="J148" i="11" s="1"/>
  <c r="J146" i="11" s="1"/>
  <c r="J126" i="11"/>
  <c r="J124" i="11" s="1"/>
  <c r="G89" i="11"/>
  <c r="G73" i="11"/>
  <c r="G97" i="11"/>
  <c r="G130" i="11"/>
  <c r="H126" i="11"/>
  <c r="H150" i="11"/>
  <c r="G23" i="11"/>
  <c r="I128" i="11"/>
  <c r="J30" i="11"/>
  <c r="G106" i="11"/>
  <c r="H15" i="11"/>
  <c r="G25" i="11"/>
  <c r="G34" i="11"/>
  <c r="G59" i="11"/>
  <c r="G76" i="11"/>
  <c r="H84" i="11"/>
  <c r="G17" i="11"/>
  <c r="J64" i="11"/>
  <c r="J62" i="11" s="1"/>
  <c r="J54" i="11" s="1"/>
  <c r="H90" i="11"/>
  <c r="G90" i="11" s="1"/>
  <c r="H104" i="11"/>
  <c r="H136" i="11"/>
  <c r="G136" i="11" s="1"/>
  <c r="G137" i="11"/>
  <c r="J29" i="11"/>
  <c r="J51" i="11"/>
  <c r="G51" i="11" s="1"/>
  <c r="H62" i="11"/>
  <c r="G62" i="11" s="1"/>
  <c r="J68" i="11" l="1"/>
  <c r="J28" i="11"/>
  <c r="G29" i="11"/>
  <c r="I150" i="11"/>
  <c r="I148" i="11" s="1"/>
  <c r="I146" i="11" s="1"/>
  <c r="I126" i="11"/>
  <c r="I124" i="11" s="1"/>
  <c r="H148" i="11"/>
  <c r="G150" i="11"/>
  <c r="H54" i="11"/>
  <c r="H52" i="11"/>
  <c r="G15" i="11"/>
  <c r="G128" i="11"/>
  <c r="G104" i="11"/>
  <c r="H103" i="11"/>
  <c r="G103" i="11" s="1"/>
  <c r="G30" i="11"/>
  <c r="J69" i="11"/>
  <c r="G69" i="11" s="1"/>
  <c r="G126" i="11"/>
  <c r="H124" i="11"/>
  <c r="G124" i="11" s="1"/>
  <c r="I52" i="11"/>
  <c r="G148" i="11" l="1"/>
  <c r="H146" i="11"/>
  <c r="G146" i="11" s="1"/>
  <c r="J45" i="11"/>
  <c r="J52" i="11" s="1"/>
  <c r="K31" i="11"/>
  <c r="H91" i="11"/>
  <c r="G54" i="11"/>
  <c r="J67" i="11"/>
  <c r="G68" i="11"/>
  <c r="K70" i="11" l="1"/>
  <c r="K45" i="11"/>
  <c r="K84" i="11" s="1"/>
  <c r="G31" i="11"/>
  <c r="K28" i="11"/>
  <c r="J84" i="11"/>
  <c r="G84" i="11" s="1"/>
  <c r="G45" i="11"/>
  <c r="J91" i="11" l="1"/>
  <c r="G70" i="11"/>
  <c r="K67" i="11"/>
  <c r="K52" i="11"/>
  <c r="G52" i="11" s="1"/>
  <c r="G28" i="11"/>
  <c r="K91" i="11" l="1"/>
  <c r="G91" i="11" s="1"/>
  <c r="G67" i="11"/>
  <c r="F155" i="10" l="1"/>
  <c r="I152" i="10"/>
  <c r="F152" i="10"/>
  <c r="G147" i="10"/>
  <c r="G145" i="10"/>
  <c r="G144" i="10"/>
  <c r="G143" i="10"/>
  <c r="K142" i="10"/>
  <c r="J142" i="10"/>
  <c r="I142" i="10"/>
  <c r="H142" i="10"/>
  <c r="G142" i="10"/>
  <c r="G141" i="10"/>
  <c r="G140" i="10"/>
  <c r="K139" i="10"/>
  <c r="J139" i="10"/>
  <c r="J137" i="10" s="1"/>
  <c r="J136" i="10" s="1"/>
  <c r="I139" i="10"/>
  <c r="I137" i="10" s="1"/>
  <c r="I136" i="10" s="1"/>
  <c r="H139" i="10"/>
  <c r="G139" i="10" s="1"/>
  <c r="G138" i="10"/>
  <c r="K137" i="10"/>
  <c r="H137" i="10"/>
  <c r="G137" i="10" s="1"/>
  <c r="K136" i="10"/>
  <c r="G135" i="10"/>
  <c r="G134" i="10"/>
  <c r="G133" i="10"/>
  <c r="K132" i="10"/>
  <c r="J132" i="10"/>
  <c r="I132" i="10"/>
  <c r="I130" i="10" s="1"/>
  <c r="H132" i="10"/>
  <c r="H130" i="10" s="1"/>
  <c r="G130" i="10" s="1"/>
  <c r="G131" i="10"/>
  <c r="K130" i="10"/>
  <c r="J130" i="10"/>
  <c r="I127" i="10"/>
  <c r="G127" i="10" s="1"/>
  <c r="G125" i="10"/>
  <c r="G123" i="10"/>
  <c r="G122" i="10"/>
  <c r="G121" i="10"/>
  <c r="K120" i="10"/>
  <c r="J120" i="10"/>
  <c r="I120" i="10"/>
  <c r="G120" i="10" s="1"/>
  <c r="H120" i="10"/>
  <c r="G119" i="10"/>
  <c r="G118" i="10"/>
  <c r="G117" i="10"/>
  <c r="G116" i="10"/>
  <c r="G115" i="10"/>
  <c r="G114" i="10"/>
  <c r="K113" i="10"/>
  <c r="J113" i="10"/>
  <c r="I113" i="10"/>
  <c r="H113" i="10"/>
  <c r="G113" i="10" s="1"/>
  <c r="G112" i="10"/>
  <c r="G111" i="10"/>
  <c r="K110" i="10"/>
  <c r="J110" i="10"/>
  <c r="I110" i="10"/>
  <c r="H110" i="10"/>
  <c r="G110" i="10"/>
  <c r="G109" i="10"/>
  <c r="G108" i="10"/>
  <c r="K107" i="10"/>
  <c r="J107" i="10"/>
  <c r="J106" i="10" s="1"/>
  <c r="J104" i="10" s="1"/>
  <c r="J103" i="10" s="1"/>
  <c r="I107" i="10"/>
  <c r="H107" i="10"/>
  <c r="G107" i="10" s="1"/>
  <c r="K106" i="10"/>
  <c r="K104" i="10" s="1"/>
  <c r="K103" i="10" s="1"/>
  <c r="I106" i="10"/>
  <c r="I104" i="10" s="1"/>
  <c r="I103" i="10" s="1"/>
  <c r="G105" i="10"/>
  <c r="G102" i="10"/>
  <c r="G101" i="10"/>
  <c r="G100" i="10"/>
  <c r="K99" i="10"/>
  <c r="J99" i="10"/>
  <c r="I99" i="10"/>
  <c r="I97" i="10" s="1"/>
  <c r="H99" i="10"/>
  <c r="G99" i="10" s="1"/>
  <c r="G98" i="10"/>
  <c r="K97" i="10"/>
  <c r="J97" i="10"/>
  <c r="H97" i="10"/>
  <c r="G97" i="10" s="1"/>
  <c r="G95" i="10"/>
  <c r="G94" i="10"/>
  <c r="G93" i="10"/>
  <c r="H90" i="10"/>
  <c r="J89" i="10"/>
  <c r="G88" i="10"/>
  <c r="K87" i="10"/>
  <c r="J87" i="10"/>
  <c r="J90" i="10" s="1"/>
  <c r="I87" i="10"/>
  <c r="H87" i="10"/>
  <c r="G87" i="10"/>
  <c r="G86" i="10"/>
  <c r="G85" i="10"/>
  <c r="G83" i="10"/>
  <c r="I81" i="10"/>
  <c r="G81" i="10"/>
  <c r="K79" i="10"/>
  <c r="J79" i="10"/>
  <c r="I79" i="10"/>
  <c r="H79" i="10"/>
  <c r="G79" i="10" s="1"/>
  <c r="G78" i="10"/>
  <c r="G77" i="10"/>
  <c r="K76" i="10"/>
  <c r="K73" i="10" s="1"/>
  <c r="J76" i="10"/>
  <c r="H76" i="10"/>
  <c r="G75" i="10"/>
  <c r="G74" i="10"/>
  <c r="J73" i="10"/>
  <c r="H73" i="10"/>
  <c r="G72" i="10"/>
  <c r="G71" i="10"/>
  <c r="I67" i="10"/>
  <c r="H67" i="10"/>
  <c r="J65" i="10"/>
  <c r="G65" i="10"/>
  <c r="I64" i="10"/>
  <c r="I62" i="10" s="1"/>
  <c r="H64" i="10"/>
  <c r="K62" i="10"/>
  <c r="H62" i="10"/>
  <c r="K59" i="10"/>
  <c r="K54" i="10" s="1"/>
  <c r="J59" i="10"/>
  <c r="I59" i="10"/>
  <c r="G59" i="10" s="1"/>
  <c r="H59" i="10"/>
  <c r="K56" i="10"/>
  <c r="J56" i="10"/>
  <c r="I56" i="10"/>
  <c r="H56" i="10"/>
  <c r="G56" i="10" s="1"/>
  <c r="G55" i="10"/>
  <c r="H54" i="10"/>
  <c r="J51" i="10"/>
  <c r="H51" i="10"/>
  <c r="K50" i="10"/>
  <c r="K89" i="10" s="1"/>
  <c r="J50" i="10"/>
  <c r="I50" i="10"/>
  <c r="I89" i="10" s="1"/>
  <c r="G49" i="10"/>
  <c r="G48" i="10"/>
  <c r="G47" i="10"/>
  <c r="G46" i="10"/>
  <c r="G44" i="10"/>
  <c r="G42" i="10"/>
  <c r="K40" i="10"/>
  <c r="J40" i="10"/>
  <c r="J34" i="10" s="1"/>
  <c r="J128" i="10" s="1"/>
  <c r="I40" i="10"/>
  <c r="H40" i="10"/>
  <c r="H34" i="10" s="1"/>
  <c r="G39" i="10"/>
  <c r="G38" i="10"/>
  <c r="I37" i="10"/>
  <c r="G37" i="10" s="1"/>
  <c r="G36" i="10"/>
  <c r="G35" i="10"/>
  <c r="K34" i="10"/>
  <c r="K128" i="10" s="1"/>
  <c r="I34" i="10"/>
  <c r="I128" i="10" s="1"/>
  <c r="G33" i="10"/>
  <c r="G32" i="10"/>
  <c r="I28" i="10"/>
  <c r="H28" i="10"/>
  <c r="G26" i="10"/>
  <c r="J25" i="10"/>
  <c r="J64" i="10" s="1"/>
  <c r="G25" i="10"/>
  <c r="K23" i="10"/>
  <c r="J23" i="10"/>
  <c r="I23" i="10"/>
  <c r="H23" i="10"/>
  <c r="G23" i="10" s="1"/>
  <c r="K20" i="10"/>
  <c r="K15" i="10" s="1"/>
  <c r="J20" i="10"/>
  <c r="I20" i="10"/>
  <c r="I15" i="10" s="1"/>
  <c r="H20" i="10"/>
  <c r="G20" i="10"/>
  <c r="K17" i="10"/>
  <c r="J17" i="10"/>
  <c r="I17" i="10"/>
  <c r="H17" i="10"/>
  <c r="G17" i="10" s="1"/>
  <c r="G16" i="10"/>
  <c r="J15" i="10"/>
  <c r="I150" i="10" l="1"/>
  <c r="I126" i="10"/>
  <c r="I124" i="10" s="1"/>
  <c r="G51" i="10"/>
  <c r="K90" i="10"/>
  <c r="K126" i="10"/>
  <c r="K124" i="10" s="1"/>
  <c r="K150" i="10"/>
  <c r="K148" i="10" s="1"/>
  <c r="K146" i="10" s="1"/>
  <c r="J150" i="10"/>
  <c r="J148" i="10" s="1"/>
  <c r="J146" i="10" s="1"/>
  <c r="J126" i="10"/>
  <c r="J124" i="10" s="1"/>
  <c r="G89" i="10"/>
  <c r="I54" i="10"/>
  <c r="I45" i="10"/>
  <c r="I84" i="10" s="1"/>
  <c r="I52" i="10"/>
  <c r="J62" i="10"/>
  <c r="J54" i="10" s="1"/>
  <c r="G64" i="10"/>
  <c r="I90" i="10"/>
  <c r="G90" i="10" s="1"/>
  <c r="G34" i="10"/>
  <c r="H45" i="10"/>
  <c r="H128" i="10"/>
  <c r="I76" i="10"/>
  <c r="I149" i="10"/>
  <c r="J30" i="10"/>
  <c r="G40" i="10"/>
  <c r="G50" i="10"/>
  <c r="K51" i="10"/>
  <c r="H106" i="10"/>
  <c r="G132" i="10"/>
  <c r="H15" i="10"/>
  <c r="I51" i="10"/>
  <c r="H136" i="10"/>
  <c r="G136" i="10" s="1"/>
  <c r="G76" i="10" l="1"/>
  <c r="I73" i="10"/>
  <c r="G73" i="10" s="1"/>
  <c r="I91" i="10"/>
  <c r="G54" i="10"/>
  <c r="G128" i="10"/>
  <c r="H150" i="10"/>
  <c r="H126" i="10"/>
  <c r="G106" i="10"/>
  <c r="H104" i="10"/>
  <c r="G30" i="10"/>
  <c r="J69" i="10"/>
  <c r="G69" i="10" s="1"/>
  <c r="J29" i="10"/>
  <c r="H84" i="10"/>
  <c r="H52" i="10"/>
  <c r="G15" i="10"/>
  <c r="I148" i="10"/>
  <c r="I146" i="10" s="1"/>
  <c r="G149" i="10"/>
  <c r="G62" i="10"/>
  <c r="H124" i="10" l="1"/>
  <c r="G124" i="10" s="1"/>
  <c r="G126" i="10"/>
  <c r="H91" i="10"/>
  <c r="H148" i="10"/>
  <c r="G150" i="10"/>
  <c r="J68" i="10"/>
  <c r="G29" i="10"/>
  <c r="J28" i="10"/>
  <c r="G104" i="10"/>
  <c r="H103" i="10"/>
  <c r="G103" i="10" s="1"/>
  <c r="J45" i="10" l="1"/>
  <c r="J52" i="10"/>
  <c r="K31" i="10"/>
  <c r="G148" i="10"/>
  <c r="H146" i="10"/>
  <c r="G146" i="10" s="1"/>
  <c r="G68" i="10"/>
  <c r="J67" i="10"/>
  <c r="K70" i="10" l="1"/>
  <c r="K45" i="10"/>
  <c r="K84" i="10" s="1"/>
  <c r="G31" i="10"/>
  <c r="K28" i="10"/>
  <c r="J84" i="10"/>
  <c r="G84" i="10" s="1"/>
  <c r="G45" i="10"/>
  <c r="J91" i="10" l="1"/>
  <c r="G70" i="10"/>
  <c r="K67" i="10"/>
  <c r="K52" i="10"/>
  <c r="G52" i="10" s="1"/>
  <c r="G28" i="10"/>
  <c r="K91" i="10" l="1"/>
  <c r="G91" i="10" s="1"/>
  <c r="G67" i="10"/>
  <c r="F155" i="9" l="1"/>
  <c r="I152" i="9"/>
  <c r="F152" i="9"/>
  <c r="G147" i="9"/>
  <c r="G145" i="9"/>
  <c r="G144" i="9"/>
  <c r="G143" i="9"/>
  <c r="K142" i="9"/>
  <c r="J142" i="9"/>
  <c r="I142" i="9"/>
  <c r="H142" i="9"/>
  <c r="G142" i="9"/>
  <c r="G141" i="9"/>
  <c r="G140" i="9"/>
  <c r="K139" i="9"/>
  <c r="J139" i="9"/>
  <c r="I139" i="9"/>
  <c r="I137" i="9" s="1"/>
  <c r="I136" i="9" s="1"/>
  <c r="H139" i="9"/>
  <c r="G139" i="9" s="1"/>
  <c r="G138" i="9"/>
  <c r="K137" i="9"/>
  <c r="J137" i="9"/>
  <c r="J136" i="9" s="1"/>
  <c r="H137" i="9"/>
  <c r="G137" i="9" s="1"/>
  <c r="K136" i="9"/>
  <c r="G135" i="9"/>
  <c r="G134" i="9"/>
  <c r="G133" i="9"/>
  <c r="K132" i="9"/>
  <c r="K130" i="9" s="1"/>
  <c r="J132" i="9"/>
  <c r="I132" i="9"/>
  <c r="H132" i="9"/>
  <c r="H130" i="9" s="1"/>
  <c r="G130" i="9" s="1"/>
  <c r="G132" i="9"/>
  <c r="G131" i="9"/>
  <c r="J130" i="9"/>
  <c r="I130" i="9"/>
  <c r="J128" i="9"/>
  <c r="J150" i="9" s="1"/>
  <c r="J148" i="9" s="1"/>
  <c r="J146" i="9" s="1"/>
  <c r="H128" i="9"/>
  <c r="I127" i="9"/>
  <c r="I149" i="9" s="1"/>
  <c r="G125" i="9"/>
  <c r="G123" i="9"/>
  <c r="G122" i="9"/>
  <c r="G121" i="9"/>
  <c r="K120" i="9"/>
  <c r="J120" i="9"/>
  <c r="I120" i="9"/>
  <c r="H120" i="9"/>
  <c r="G120" i="9"/>
  <c r="G119" i="9"/>
  <c r="G118" i="9"/>
  <c r="G117" i="9"/>
  <c r="G116" i="9"/>
  <c r="G115" i="9"/>
  <c r="G114" i="9"/>
  <c r="K113" i="9"/>
  <c r="J113" i="9"/>
  <c r="I113" i="9"/>
  <c r="H113" i="9"/>
  <c r="G113" i="9" s="1"/>
  <c r="G112" i="9"/>
  <c r="G111" i="9"/>
  <c r="K110" i="9"/>
  <c r="J110" i="9"/>
  <c r="I110" i="9"/>
  <c r="G110" i="9" s="1"/>
  <c r="H110" i="9"/>
  <c r="G109" i="9"/>
  <c r="G108" i="9"/>
  <c r="K107" i="9"/>
  <c r="J107" i="9"/>
  <c r="J106" i="9" s="1"/>
  <c r="J104" i="9" s="1"/>
  <c r="J103" i="9" s="1"/>
  <c r="I107" i="9"/>
  <c r="H107" i="9"/>
  <c r="G107" i="9" s="1"/>
  <c r="K106" i="9"/>
  <c r="K104" i="9" s="1"/>
  <c r="K103" i="9" s="1"/>
  <c r="I106" i="9"/>
  <c r="I104" i="9" s="1"/>
  <c r="I103" i="9" s="1"/>
  <c r="G105" i="9"/>
  <c r="G102" i="9"/>
  <c r="G101" i="9"/>
  <c r="G100" i="9"/>
  <c r="K99" i="9"/>
  <c r="J99" i="9"/>
  <c r="J97" i="9" s="1"/>
  <c r="I99" i="9"/>
  <c r="I97" i="9" s="1"/>
  <c r="H99" i="9"/>
  <c r="G99" i="9" s="1"/>
  <c r="G98" i="9"/>
  <c r="K97" i="9"/>
  <c r="H97" i="9"/>
  <c r="G95" i="9"/>
  <c r="G94" i="9"/>
  <c r="G93" i="9"/>
  <c r="H90" i="9"/>
  <c r="K89" i="9"/>
  <c r="J89" i="9"/>
  <c r="I89" i="9"/>
  <c r="G89" i="9"/>
  <c r="G88" i="9"/>
  <c r="K87" i="9"/>
  <c r="K90" i="9" s="1"/>
  <c r="J87" i="9"/>
  <c r="J90" i="9" s="1"/>
  <c r="I87" i="9"/>
  <c r="I90" i="9" s="1"/>
  <c r="H87" i="9"/>
  <c r="G86" i="9"/>
  <c r="G85" i="9"/>
  <c r="G83" i="9"/>
  <c r="I81" i="9"/>
  <c r="G81" i="9"/>
  <c r="K79" i="9"/>
  <c r="J79" i="9"/>
  <c r="I79" i="9"/>
  <c r="H79" i="9"/>
  <c r="G79" i="9" s="1"/>
  <c r="G78" i="9"/>
  <c r="G77" i="9"/>
  <c r="K76" i="9"/>
  <c r="K73" i="9" s="1"/>
  <c r="J76" i="9"/>
  <c r="I76" i="9"/>
  <c r="G76" i="9" s="1"/>
  <c r="H76" i="9"/>
  <c r="G75" i="9"/>
  <c r="G74" i="9"/>
  <c r="J73" i="9"/>
  <c r="H73" i="9"/>
  <c r="G72" i="9"/>
  <c r="G71" i="9"/>
  <c r="I67" i="9"/>
  <c r="H67" i="9"/>
  <c r="J65" i="9"/>
  <c r="G65" i="9"/>
  <c r="I64" i="9"/>
  <c r="I62" i="9" s="1"/>
  <c r="H64" i="9"/>
  <c r="K62" i="9"/>
  <c r="H62" i="9"/>
  <c r="K59" i="9"/>
  <c r="K54" i="9" s="1"/>
  <c r="J59" i="9"/>
  <c r="I59" i="9"/>
  <c r="G59" i="9" s="1"/>
  <c r="H59" i="9"/>
  <c r="K56" i="9"/>
  <c r="J56" i="9"/>
  <c r="I56" i="9"/>
  <c r="H56" i="9"/>
  <c r="G56" i="9" s="1"/>
  <c r="G55" i="9"/>
  <c r="H54" i="9"/>
  <c r="K51" i="9"/>
  <c r="J51" i="9"/>
  <c r="I51" i="9"/>
  <c r="H51" i="9"/>
  <c r="G51" i="9" s="1"/>
  <c r="G50" i="9"/>
  <c r="G49" i="9"/>
  <c r="G48" i="9"/>
  <c r="G47" i="9"/>
  <c r="G46" i="9"/>
  <c r="H45" i="9"/>
  <c r="G44" i="9"/>
  <c r="G42" i="9"/>
  <c r="K40" i="9"/>
  <c r="J40" i="9"/>
  <c r="I40" i="9"/>
  <c r="H40" i="9"/>
  <c r="G40" i="9"/>
  <c r="G39" i="9"/>
  <c r="G38" i="9"/>
  <c r="G37" i="9"/>
  <c r="G36" i="9"/>
  <c r="G35" i="9"/>
  <c r="K34" i="9"/>
  <c r="K128" i="9" s="1"/>
  <c r="J34" i="9"/>
  <c r="I34" i="9"/>
  <c r="G34" i="9" s="1"/>
  <c r="H34" i="9"/>
  <c r="G33" i="9"/>
  <c r="G32" i="9"/>
  <c r="I28" i="9"/>
  <c r="H28" i="9"/>
  <c r="G26" i="9"/>
  <c r="J25" i="9"/>
  <c r="J64" i="9" s="1"/>
  <c r="G25" i="9"/>
  <c r="K23" i="9"/>
  <c r="J23" i="9"/>
  <c r="I23" i="9"/>
  <c r="H23" i="9"/>
  <c r="G23" i="9" s="1"/>
  <c r="K20" i="9"/>
  <c r="K15" i="9" s="1"/>
  <c r="J20" i="9"/>
  <c r="I20" i="9"/>
  <c r="I15" i="9" s="1"/>
  <c r="H20" i="9"/>
  <c r="G20" i="9"/>
  <c r="K17" i="9"/>
  <c r="J17" i="9"/>
  <c r="I17" i="9"/>
  <c r="H17" i="9"/>
  <c r="G17" i="9" s="1"/>
  <c r="G16" i="9"/>
  <c r="J15" i="9"/>
  <c r="G62" i="9" l="1"/>
  <c r="K150" i="9"/>
  <c r="K148" i="9" s="1"/>
  <c r="K146" i="9" s="1"/>
  <c r="K126" i="9"/>
  <c r="K124" i="9" s="1"/>
  <c r="I45" i="9"/>
  <c r="I84" i="9" s="1"/>
  <c r="J62" i="9"/>
  <c r="G64" i="9"/>
  <c r="G54" i="9"/>
  <c r="J54" i="9"/>
  <c r="G90" i="9"/>
  <c r="G97" i="9"/>
  <c r="G149" i="9"/>
  <c r="G87" i="9"/>
  <c r="J30" i="9"/>
  <c r="I54" i="9"/>
  <c r="I73" i="9"/>
  <c r="G73" i="9" s="1"/>
  <c r="H106" i="9"/>
  <c r="H126" i="9"/>
  <c r="G127" i="9"/>
  <c r="I128" i="9"/>
  <c r="G128" i="9" s="1"/>
  <c r="H84" i="9"/>
  <c r="H150" i="9"/>
  <c r="H15" i="9"/>
  <c r="J29" i="9"/>
  <c r="J126" i="9"/>
  <c r="J124" i="9" s="1"/>
  <c r="H136" i="9"/>
  <c r="G136" i="9" s="1"/>
  <c r="J68" i="9" l="1"/>
  <c r="J28" i="9"/>
  <c r="G29" i="9"/>
  <c r="H91" i="9"/>
  <c r="H52" i="9"/>
  <c r="G15" i="9"/>
  <c r="I91" i="9"/>
  <c r="G106" i="9"/>
  <c r="H104" i="9"/>
  <c r="I150" i="9"/>
  <c r="I148" i="9" s="1"/>
  <c r="I146" i="9" s="1"/>
  <c r="I126" i="9"/>
  <c r="I124" i="9" s="1"/>
  <c r="H148" i="9"/>
  <c r="H124" i="9"/>
  <c r="G124" i="9" s="1"/>
  <c r="G126" i="9"/>
  <c r="J69" i="9"/>
  <c r="G69" i="9" s="1"/>
  <c r="G30" i="9"/>
  <c r="I52" i="9"/>
  <c r="G150" i="9" l="1"/>
  <c r="G104" i="9"/>
  <c r="H103" i="9"/>
  <c r="G103" i="9" s="1"/>
  <c r="G148" i="9"/>
  <c r="H146" i="9"/>
  <c r="G146" i="9" s="1"/>
  <c r="K31" i="9"/>
  <c r="J45" i="9"/>
  <c r="G68" i="9"/>
  <c r="J67" i="9"/>
  <c r="K70" i="9" l="1"/>
  <c r="K45" i="9"/>
  <c r="K84" i="9" s="1"/>
  <c r="G31" i="9"/>
  <c r="K28" i="9"/>
  <c r="J84" i="9"/>
  <c r="G45" i="9"/>
  <c r="J91" i="9"/>
  <c r="J52" i="9"/>
  <c r="K52" i="9" l="1"/>
  <c r="G28" i="9"/>
  <c r="G52" i="9"/>
  <c r="G84" i="9"/>
  <c r="G70" i="9"/>
  <c r="K67" i="9"/>
  <c r="K91" i="9" l="1"/>
  <c r="G91" i="9" s="1"/>
  <c r="G67" i="9"/>
  <c r="F157" i="8" l="1"/>
  <c r="I154" i="8"/>
  <c r="F154" i="8"/>
  <c r="I151" i="8"/>
  <c r="G151" i="8" s="1"/>
  <c r="G149" i="8"/>
  <c r="G147" i="8"/>
  <c r="G146" i="8"/>
  <c r="G145" i="8"/>
  <c r="K144" i="8"/>
  <c r="J144" i="8"/>
  <c r="G144" i="8" s="1"/>
  <c r="I144" i="8"/>
  <c r="H144" i="8"/>
  <c r="G143" i="8"/>
  <c r="G142" i="8"/>
  <c r="K141" i="8"/>
  <c r="J141" i="8"/>
  <c r="J139" i="8" s="1"/>
  <c r="J138" i="8" s="1"/>
  <c r="I141" i="8"/>
  <c r="I139" i="8" s="1"/>
  <c r="H141" i="8"/>
  <c r="G141" i="8" s="1"/>
  <c r="G140" i="8"/>
  <c r="K139" i="8"/>
  <c r="K138" i="8" s="1"/>
  <c r="H139" i="8"/>
  <c r="H138" i="8"/>
  <c r="G137" i="8"/>
  <c r="G136" i="8"/>
  <c r="G135" i="8"/>
  <c r="K134" i="8"/>
  <c r="J134" i="8"/>
  <c r="I134" i="8"/>
  <c r="I132" i="8" s="1"/>
  <c r="H134" i="8"/>
  <c r="G134" i="8" s="1"/>
  <c r="G133" i="8"/>
  <c r="K132" i="8"/>
  <c r="J132" i="8"/>
  <c r="I129" i="8"/>
  <c r="G129" i="8" s="1"/>
  <c r="G127" i="8"/>
  <c r="G125" i="8"/>
  <c r="G124" i="8"/>
  <c r="G123" i="8"/>
  <c r="K122" i="8"/>
  <c r="J122" i="8"/>
  <c r="I122" i="8"/>
  <c r="H122" i="8"/>
  <c r="G122" i="8" s="1"/>
  <c r="G121" i="8"/>
  <c r="G120" i="8"/>
  <c r="G119" i="8"/>
  <c r="G118" i="8"/>
  <c r="G117" i="8"/>
  <c r="G116" i="8"/>
  <c r="K115" i="8"/>
  <c r="K108" i="8" s="1"/>
  <c r="K106" i="8" s="1"/>
  <c r="K105" i="8" s="1"/>
  <c r="J115" i="8"/>
  <c r="I115" i="8"/>
  <c r="H115" i="8"/>
  <c r="G114" i="8"/>
  <c r="G113" i="8"/>
  <c r="K112" i="8"/>
  <c r="J112" i="8"/>
  <c r="G112" i="8" s="1"/>
  <c r="I112" i="8"/>
  <c r="H112" i="8"/>
  <c r="G111" i="8"/>
  <c r="G110" i="8"/>
  <c r="K109" i="8"/>
  <c r="J109" i="8"/>
  <c r="I109" i="8"/>
  <c r="I108" i="8" s="1"/>
  <c r="I106" i="8" s="1"/>
  <c r="I105" i="8" s="1"/>
  <c r="H109" i="8"/>
  <c r="G109" i="8" s="1"/>
  <c r="J108" i="8"/>
  <c r="J106" i="8" s="1"/>
  <c r="J105" i="8" s="1"/>
  <c r="G107" i="8"/>
  <c r="G104" i="8"/>
  <c r="G103" i="8"/>
  <c r="G102" i="8"/>
  <c r="K101" i="8"/>
  <c r="J101" i="8"/>
  <c r="J99" i="8" s="1"/>
  <c r="I101" i="8"/>
  <c r="I99" i="8" s="1"/>
  <c r="G99" i="8" s="1"/>
  <c r="H101" i="8"/>
  <c r="G101" i="8" s="1"/>
  <c r="G100" i="8"/>
  <c r="K99" i="8"/>
  <c r="H99" i="8"/>
  <c r="G97" i="8"/>
  <c r="G96" i="8"/>
  <c r="G95" i="8"/>
  <c r="H92" i="8"/>
  <c r="J91" i="8"/>
  <c r="I91" i="8"/>
  <c r="G90" i="8"/>
  <c r="K89" i="8"/>
  <c r="J89" i="8"/>
  <c r="G89" i="8" s="1"/>
  <c r="I89" i="8"/>
  <c r="H89" i="8"/>
  <c r="G88" i="8"/>
  <c r="G87" i="8"/>
  <c r="G85" i="8"/>
  <c r="I83" i="8"/>
  <c r="G83" i="8" s="1"/>
  <c r="K81" i="8"/>
  <c r="J81" i="8"/>
  <c r="J75" i="8" s="1"/>
  <c r="H81" i="8"/>
  <c r="G80" i="8"/>
  <c r="G79" i="8"/>
  <c r="K78" i="8"/>
  <c r="J78" i="8"/>
  <c r="H78" i="8"/>
  <c r="G77" i="8"/>
  <c r="G76" i="8"/>
  <c r="K75" i="8"/>
  <c r="G74" i="8"/>
  <c r="G73" i="8"/>
  <c r="I69" i="8"/>
  <c r="H69" i="8"/>
  <c r="J67" i="8"/>
  <c r="G67" i="8"/>
  <c r="J66" i="8"/>
  <c r="J64" i="8" s="1"/>
  <c r="J55" i="8" s="1"/>
  <c r="I66" i="8"/>
  <c r="I64" i="8" s="1"/>
  <c r="H66" i="8"/>
  <c r="K64" i="8"/>
  <c r="H64" i="8"/>
  <c r="K61" i="8"/>
  <c r="J61" i="8"/>
  <c r="I61" i="8"/>
  <c r="H61" i="8"/>
  <c r="G61" i="8" s="1"/>
  <c r="J59" i="8"/>
  <c r="G59" i="8"/>
  <c r="K57" i="8"/>
  <c r="K55" i="8" s="1"/>
  <c r="J57" i="8"/>
  <c r="I57" i="8"/>
  <c r="H57" i="8"/>
  <c r="H55" i="8" s="1"/>
  <c r="G57" i="8"/>
  <c r="G56" i="8"/>
  <c r="K52" i="8"/>
  <c r="J52" i="8"/>
  <c r="H52" i="8"/>
  <c r="K51" i="8"/>
  <c r="K91" i="8" s="1"/>
  <c r="J51" i="8"/>
  <c r="I51" i="8"/>
  <c r="I52" i="8" s="1"/>
  <c r="G52" i="8" s="1"/>
  <c r="G51" i="8"/>
  <c r="G50" i="8"/>
  <c r="G49" i="8"/>
  <c r="G48" i="8"/>
  <c r="G47" i="8"/>
  <c r="G45" i="8"/>
  <c r="G43" i="8"/>
  <c r="K41" i="8"/>
  <c r="K35" i="8" s="1"/>
  <c r="K130" i="8" s="1"/>
  <c r="J41" i="8"/>
  <c r="I41" i="8"/>
  <c r="H41" i="8"/>
  <c r="H35" i="8" s="1"/>
  <c r="G41" i="8"/>
  <c r="G40" i="8"/>
  <c r="G39" i="8"/>
  <c r="I38" i="8"/>
  <c r="I78" i="8" s="1"/>
  <c r="G38" i="8"/>
  <c r="G37" i="8"/>
  <c r="G36" i="8"/>
  <c r="J35" i="8"/>
  <c r="J130" i="8" s="1"/>
  <c r="G34" i="8"/>
  <c r="G33" i="8"/>
  <c r="I29" i="8"/>
  <c r="H29" i="8"/>
  <c r="G27" i="8"/>
  <c r="G26" i="8"/>
  <c r="K24" i="8"/>
  <c r="J24" i="8"/>
  <c r="G24" i="8" s="1"/>
  <c r="I24" i="8"/>
  <c r="H24" i="8"/>
  <c r="K21" i="8"/>
  <c r="J21" i="8"/>
  <c r="I21" i="8"/>
  <c r="H21" i="8"/>
  <c r="G21" i="8"/>
  <c r="G19" i="8"/>
  <c r="K17" i="8"/>
  <c r="J17" i="8"/>
  <c r="J15" i="8" s="1"/>
  <c r="I17" i="8"/>
  <c r="I15" i="8" s="1"/>
  <c r="H17" i="8"/>
  <c r="G17" i="8" s="1"/>
  <c r="G16" i="8"/>
  <c r="K15" i="8"/>
  <c r="H15" i="8"/>
  <c r="G15" i="8" l="1"/>
  <c r="I46" i="8"/>
  <c r="I86" i="8" s="1"/>
  <c r="K92" i="8"/>
  <c r="K128" i="8"/>
  <c r="K126" i="8" s="1"/>
  <c r="K152" i="8"/>
  <c r="K150" i="8" s="1"/>
  <c r="K148" i="8" s="1"/>
  <c r="G78" i="8"/>
  <c r="J152" i="8"/>
  <c r="J150" i="8" s="1"/>
  <c r="J148" i="8" s="1"/>
  <c r="J128" i="8"/>
  <c r="J126" i="8" s="1"/>
  <c r="H130" i="8"/>
  <c r="H46" i="8"/>
  <c r="H53" i="8" s="1"/>
  <c r="G64" i="8"/>
  <c r="I55" i="8"/>
  <c r="G91" i="8"/>
  <c r="I138" i="8"/>
  <c r="G138" i="8" s="1"/>
  <c r="G139" i="8"/>
  <c r="I81" i="8"/>
  <c r="G81" i="8" s="1"/>
  <c r="G66" i="8"/>
  <c r="H75" i="8"/>
  <c r="I92" i="8"/>
  <c r="J92" i="8"/>
  <c r="G92" i="8" s="1"/>
  <c r="H108" i="8"/>
  <c r="H132" i="8"/>
  <c r="G132" i="8" s="1"/>
  <c r="I35" i="8"/>
  <c r="G115" i="8"/>
  <c r="I93" i="8" l="1"/>
  <c r="I130" i="8"/>
  <c r="J31" i="8"/>
  <c r="I75" i="8"/>
  <c r="I53" i="8"/>
  <c r="H152" i="8"/>
  <c r="H128" i="8"/>
  <c r="G55" i="8"/>
  <c r="H86" i="8"/>
  <c r="J30" i="8"/>
  <c r="G75" i="8"/>
  <c r="H106" i="8"/>
  <c r="G108" i="8"/>
  <c r="G35" i="8"/>
  <c r="G106" i="8" l="1"/>
  <c r="H105" i="8"/>
  <c r="G105" i="8" s="1"/>
  <c r="H150" i="8"/>
  <c r="I152" i="8"/>
  <c r="I150" i="8" s="1"/>
  <c r="I148" i="8" s="1"/>
  <c r="I128" i="8"/>
  <c r="I126" i="8" s="1"/>
  <c r="J29" i="8"/>
  <c r="G30" i="8"/>
  <c r="J70" i="8"/>
  <c r="G128" i="8"/>
  <c r="H126" i="8"/>
  <c r="G130" i="8"/>
  <c r="J71" i="8"/>
  <c r="G71" i="8" s="1"/>
  <c r="G31" i="8"/>
  <c r="H93" i="8"/>
  <c r="J69" i="8" l="1"/>
  <c r="G70" i="8"/>
  <c r="G152" i="8"/>
  <c r="G126" i="8"/>
  <c r="K32" i="8"/>
  <c r="J46" i="8"/>
  <c r="G150" i="8"/>
  <c r="H148" i="8"/>
  <c r="G148" i="8" s="1"/>
  <c r="K72" i="8" l="1"/>
  <c r="G32" i="8"/>
  <c r="K29" i="8"/>
  <c r="K46" i="8"/>
  <c r="K86" i="8" s="1"/>
  <c r="J86" i="8"/>
  <c r="J53" i="8"/>
  <c r="J93" i="8"/>
  <c r="K53" i="8" l="1"/>
  <c r="G53" i="8" s="1"/>
  <c r="G29" i="8"/>
  <c r="G46" i="8"/>
  <c r="G86" i="8"/>
  <c r="G72" i="8"/>
  <c r="K69" i="8"/>
  <c r="K93" i="8" l="1"/>
  <c r="G93" i="8" s="1"/>
  <c r="G69" i="8"/>
  <c r="F155" i="7" l="1"/>
  <c r="I152" i="7"/>
  <c r="F152" i="7"/>
  <c r="G147" i="7"/>
  <c r="G145" i="7"/>
  <c r="G144" i="7"/>
  <c r="G143" i="7"/>
  <c r="K142" i="7"/>
  <c r="J142" i="7"/>
  <c r="I142" i="7"/>
  <c r="G142" i="7" s="1"/>
  <c r="H142" i="7"/>
  <c r="G141" i="7"/>
  <c r="G140" i="7"/>
  <c r="K139" i="7"/>
  <c r="J139" i="7"/>
  <c r="I139" i="7"/>
  <c r="I137" i="7" s="1"/>
  <c r="I136" i="7" s="1"/>
  <c r="H139" i="7"/>
  <c r="H137" i="7" s="1"/>
  <c r="G138" i="7"/>
  <c r="K137" i="7"/>
  <c r="J137" i="7"/>
  <c r="J136" i="7" s="1"/>
  <c r="K136" i="7"/>
  <c r="G135" i="7"/>
  <c r="G134" i="7"/>
  <c r="G133" i="7"/>
  <c r="K132" i="7"/>
  <c r="K130" i="7" s="1"/>
  <c r="J132" i="7"/>
  <c r="I132" i="7"/>
  <c r="H132" i="7"/>
  <c r="H130" i="7" s="1"/>
  <c r="G130" i="7" s="1"/>
  <c r="G132" i="7"/>
  <c r="G131" i="7"/>
  <c r="J130" i="7"/>
  <c r="I130" i="7"/>
  <c r="I127" i="7"/>
  <c r="I149" i="7" s="1"/>
  <c r="G125" i="7"/>
  <c r="G123" i="7"/>
  <c r="G122" i="7"/>
  <c r="G121" i="7"/>
  <c r="K120" i="7"/>
  <c r="J120" i="7"/>
  <c r="I120" i="7"/>
  <c r="H120" i="7"/>
  <c r="G120" i="7"/>
  <c r="G119" i="7"/>
  <c r="G118" i="7"/>
  <c r="G117" i="7"/>
  <c r="G116" i="7"/>
  <c r="G115" i="7"/>
  <c r="G114" i="7"/>
  <c r="K113" i="7"/>
  <c r="J113" i="7"/>
  <c r="G113" i="7" s="1"/>
  <c r="I113" i="7"/>
  <c r="H113" i="7"/>
  <c r="G112" i="7"/>
  <c r="G111" i="7"/>
  <c r="K110" i="7"/>
  <c r="J110" i="7"/>
  <c r="I110" i="7"/>
  <c r="G110" i="7" s="1"/>
  <c r="H110" i="7"/>
  <c r="G109" i="7"/>
  <c r="G108" i="7"/>
  <c r="K107" i="7"/>
  <c r="J107" i="7"/>
  <c r="I107" i="7"/>
  <c r="H107" i="7"/>
  <c r="G107" i="7" s="1"/>
  <c r="K106" i="7"/>
  <c r="I106" i="7"/>
  <c r="I104" i="7" s="1"/>
  <c r="I103" i="7" s="1"/>
  <c r="G105" i="7"/>
  <c r="K104" i="7"/>
  <c r="K103" i="7" s="1"/>
  <c r="G102" i="7"/>
  <c r="G101" i="7"/>
  <c r="G100" i="7"/>
  <c r="K99" i="7"/>
  <c r="J99" i="7"/>
  <c r="I99" i="7"/>
  <c r="I97" i="7" s="1"/>
  <c r="H99" i="7"/>
  <c r="G99" i="7" s="1"/>
  <c r="G98" i="7"/>
  <c r="K97" i="7"/>
  <c r="J97" i="7"/>
  <c r="G95" i="7"/>
  <c r="G94" i="7"/>
  <c r="G93" i="7"/>
  <c r="H90" i="7"/>
  <c r="G88" i="7"/>
  <c r="K87" i="7"/>
  <c r="J87" i="7"/>
  <c r="I87" i="7"/>
  <c r="H87" i="7"/>
  <c r="G86" i="7"/>
  <c r="G85" i="7"/>
  <c r="G83" i="7"/>
  <c r="I81" i="7"/>
  <c r="G81" i="7"/>
  <c r="K79" i="7"/>
  <c r="J79" i="7"/>
  <c r="I79" i="7"/>
  <c r="H79" i="7"/>
  <c r="G79" i="7" s="1"/>
  <c r="G78" i="7"/>
  <c r="G77" i="7"/>
  <c r="K76" i="7"/>
  <c r="K73" i="7" s="1"/>
  <c r="J76" i="7"/>
  <c r="H76" i="7"/>
  <c r="H73" i="7" s="1"/>
  <c r="G75" i="7"/>
  <c r="G74" i="7"/>
  <c r="J73" i="7"/>
  <c r="G72" i="7"/>
  <c r="G71" i="7"/>
  <c r="I67" i="7"/>
  <c r="H67" i="7"/>
  <c r="J65" i="7"/>
  <c r="G65" i="7"/>
  <c r="J64" i="7"/>
  <c r="I64" i="7"/>
  <c r="I62" i="7" s="1"/>
  <c r="G62" i="7" s="1"/>
  <c r="H64" i="7"/>
  <c r="K62" i="7"/>
  <c r="J62" i="7"/>
  <c r="H62" i="7"/>
  <c r="K59" i="7"/>
  <c r="K54" i="7" s="1"/>
  <c r="J59" i="7"/>
  <c r="I59" i="7"/>
  <c r="H59" i="7"/>
  <c r="G59" i="7"/>
  <c r="K56" i="7"/>
  <c r="J56" i="7"/>
  <c r="I56" i="7"/>
  <c r="I54" i="7" s="1"/>
  <c r="H56" i="7"/>
  <c r="G56" i="7" s="1"/>
  <c r="G55" i="7"/>
  <c r="J54" i="7"/>
  <c r="H51" i="7"/>
  <c r="K50" i="7"/>
  <c r="K89" i="7" s="1"/>
  <c r="K90" i="7" s="1"/>
  <c r="J50" i="7"/>
  <c r="J89" i="7" s="1"/>
  <c r="I50" i="7"/>
  <c r="I89" i="7" s="1"/>
  <c r="G49" i="7"/>
  <c r="G48" i="7"/>
  <c r="G47" i="7"/>
  <c r="G46" i="7"/>
  <c r="G44" i="7"/>
  <c r="G42" i="7"/>
  <c r="K40" i="7"/>
  <c r="J40" i="7"/>
  <c r="J34" i="7" s="1"/>
  <c r="J128" i="7" s="1"/>
  <c r="I40" i="7"/>
  <c r="H40" i="7"/>
  <c r="G40" i="7" s="1"/>
  <c r="G39" i="7"/>
  <c r="G38" i="7"/>
  <c r="I37" i="7"/>
  <c r="I34" i="7" s="1"/>
  <c r="G36" i="7"/>
  <c r="G35" i="7"/>
  <c r="K34" i="7"/>
  <c r="K128" i="7" s="1"/>
  <c r="G33" i="7"/>
  <c r="G32" i="7"/>
  <c r="I28" i="7"/>
  <c r="H28" i="7"/>
  <c r="G26" i="7"/>
  <c r="G25" i="7"/>
  <c r="K23" i="7"/>
  <c r="J23" i="7"/>
  <c r="I23" i="7"/>
  <c r="H23" i="7"/>
  <c r="G23" i="7"/>
  <c r="K20" i="7"/>
  <c r="J20" i="7"/>
  <c r="I20" i="7"/>
  <c r="H20" i="7"/>
  <c r="H15" i="7" s="1"/>
  <c r="K17" i="7"/>
  <c r="J17" i="7"/>
  <c r="J15" i="7" s="1"/>
  <c r="I17" i="7"/>
  <c r="I15" i="7" s="1"/>
  <c r="H17" i="7"/>
  <c r="G16" i="7"/>
  <c r="K15" i="7"/>
  <c r="K126" i="7" l="1"/>
  <c r="K124" i="7" s="1"/>
  <c r="K150" i="7"/>
  <c r="K148" i="7" s="1"/>
  <c r="K146" i="7" s="1"/>
  <c r="J150" i="7"/>
  <c r="J148" i="7" s="1"/>
  <c r="J146" i="7" s="1"/>
  <c r="J126" i="7"/>
  <c r="J124" i="7" s="1"/>
  <c r="G89" i="7"/>
  <c r="G15" i="7"/>
  <c r="I90" i="7"/>
  <c r="G90" i="7" s="1"/>
  <c r="I128" i="7"/>
  <c r="J30" i="7"/>
  <c r="I45" i="7"/>
  <c r="I84" i="7" s="1"/>
  <c r="J90" i="7"/>
  <c r="G149" i="7"/>
  <c r="G137" i="7"/>
  <c r="H136" i="7"/>
  <c r="G136" i="7" s="1"/>
  <c r="H34" i="7"/>
  <c r="G17" i="7"/>
  <c r="J51" i="7"/>
  <c r="H54" i="7"/>
  <c r="G64" i="7"/>
  <c r="I76" i="7"/>
  <c r="H97" i="7"/>
  <c r="G97" i="7" s="1"/>
  <c r="G20" i="7"/>
  <c r="G37" i="7"/>
  <c r="G50" i="7"/>
  <c r="K51" i="7"/>
  <c r="H106" i="7"/>
  <c r="G127" i="7"/>
  <c r="G139" i="7"/>
  <c r="I51" i="7"/>
  <c r="G51" i="7" s="1"/>
  <c r="J106" i="7"/>
  <c r="J104" i="7" s="1"/>
  <c r="J103" i="7" s="1"/>
  <c r="G87" i="7"/>
  <c r="G30" i="7" l="1"/>
  <c r="J69" i="7"/>
  <c r="G69" i="7" s="1"/>
  <c r="G76" i="7"/>
  <c r="I73" i="7"/>
  <c r="I150" i="7"/>
  <c r="I148" i="7" s="1"/>
  <c r="I146" i="7" s="1"/>
  <c r="I126" i="7"/>
  <c r="I124" i="7" s="1"/>
  <c r="H128" i="7"/>
  <c r="H45" i="7"/>
  <c r="H52" i="7" s="1"/>
  <c r="G34" i="7"/>
  <c r="H104" i="7"/>
  <c r="G106" i="7"/>
  <c r="G54" i="7"/>
  <c r="I52" i="7"/>
  <c r="G73" i="7" l="1"/>
  <c r="I91" i="7"/>
  <c r="G128" i="7"/>
  <c r="H150" i="7"/>
  <c r="H126" i="7"/>
  <c r="G104" i="7"/>
  <c r="H103" i="7"/>
  <c r="G103" i="7" s="1"/>
  <c r="J29" i="7"/>
  <c r="H84" i="7"/>
  <c r="G29" i="7" l="1"/>
  <c r="J68" i="7"/>
  <c r="J28" i="7"/>
  <c r="G126" i="7"/>
  <c r="H124" i="7"/>
  <c r="G124" i="7" s="1"/>
  <c r="H91" i="7"/>
  <c r="H148" i="7"/>
  <c r="G150" i="7"/>
  <c r="K31" i="7" l="1"/>
  <c r="J45" i="7"/>
  <c r="J52" i="7" s="1"/>
  <c r="G148" i="7"/>
  <c r="H146" i="7"/>
  <c r="G146" i="7" s="1"/>
  <c r="G68" i="7"/>
  <c r="J67" i="7"/>
  <c r="J84" i="7" l="1"/>
  <c r="K70" i="7"/>
  <c r="G31" i="7"/>
  <c r="K28" i="7"/>
  <c r="K45" i="7"/>
  <c r="K84" i="7" s="1"/>
  <c r="K52" i="7" l="1"/>
  <c r="G52" i="7" s="1"/>
  <c r="G28" i="7"/>
  <c r="G84" i="7"/>
  <c r="J91" i="7"/>
  <c r="G45" i="7"/>
  <c r="G70" i="7"/>
  <c r="K67" i="7"/>
  <c r="K91" i="7" l="1"/>
  <c r="G91" i="7" s="1"/>
  <c r="G67" i="7"/>
  <c r="Q149" i="6" l="1"/>
  <c r="Q150" i="6"/>
  <c r="O150" i="6"/>
  <c r="P150" i="6"/>
  <c r="M150" i="6"/>
  <c r="N150" i="6"/>
  <c r="N34" i="6"/>
  <c r="O34" i="6"/>
  <c r="P34" i="6"/>
  <c r="M34" i="6"/>
  <c r="Q15" i="6"/>
  <c r="N15" i="6"/>
  <c r="O15" i="6"/>
  <c r="P15" i="6"/>
  <c r="M15" i="6"/>
  <c r="Q34" i="6" l="1"/>
  <c r="P48" i="6" l="1"/>
  <c r="Q48" i="6" s="1"/>
  <c r="N48" i="6"/>
  <c r="O48" i="6"/>
  <c r="M48" i="6"/>
  <c r="F155" i="6"/>
  <c r="I152" i="6"/>
  <c r="F152" i="6"/>
  <c r="G147" i="6"/>
  <c r="G145" i="6"/>
  <c r="G144" i="6"/>
  <c r="G143" i="6"/>
  <c r="K142" i="6"/>
  <c r="K136" i="6" s="1"/>
  <c r="J142" i="6"/>
  <c r="I142" i="6"/>
  <c r="H142" i="6"/>
  <c r="G142" i="6"/>
  <c r="G141" i="6"/>
  <c r="G140" i="6"/>
  <c r="K139" i="6"/>
  <c r="J139" i="6"/>
  <c r="J137" i="6" s="1"/>
  <c r="J136" i="6" s="1"/>
  <c r="I139" i="6"/>
  <c r="I137" i="6" s="1"/>
  <c r="I136" i="6" s="1"/>
  <c r="H139" i="6"/>
  <c r="G139" i="6" s="1"/>
  <c r="G138" i="6"/>
  <c r="K137" i="6"/>
  <c r="H137" i="6"/>
  <c r="G135" i="6"/>
  <c r="G134" i="6"/>
  <c r="G133" i="6"/>
  <c r="K132" i="6"/>
  <c r="J132" i="6"/>
  <c r="I132" i="6"/>
  <c r="G132" i="6" s="1"/>
  <c r="H132" i="6"/>
  <c r="H130" i="6" s="1"/>
  <c r="G131" i="6"/>
  <c r="K130" i="6"/>
  <c r="J130" i="6"/>
  <c r="G127" i="6"/>
  <c r="G125" i="6"/>
  <c r="G123" i="6"/>
  <c r="G122" i="6"/>
  <c r="G121" i="6"/>
  <c r="K120" i="6"/>
  <c r="J120" i="6"/>
  <c r="I120" i="6"/>
  <c r="G120" i="6" s="1"/>
  <c r="H120" i="6"/>
  <c r="G119" i="6"/>
  <c r="G118" i="6"/>
  <c r="G117" i="6"/>
  <c r="G116" i="6"/>
  <c r="G115" i="6"/>
  <c r="G114" i="6"/>
  <c r="K113" i="6"/>
  <c r="J113" i="6"/>
  <c r="I113" i="6"/>
  <c r="H113" i="6"/>
  <c r="G113" i="6" s="1"/>
  <c r="G112" i="6"/>
  <c r="G111" i="6"/>
  <c r="K110" i="6"/>
  <c r="J110" i="6"/>
  <c r="I110" i="6"/>
  <c r="H110" i="6"/>
  <c r="G110" i="6"/>
  <c r="G109" i="6"/>
  <c r="G108" i="6"/>
  <c r="K107" i="6"/>
  <c r="J107" i="6"/>
  <c r="J106" i="6" s="1"/>
  <c r="J104" i="6" s="1"/>
  <c r="J103" i="6" s="1"/>
  <c r="I107" i="6"/>
  <c r="H107" i="6"/>
  <c r="G107" i="6" s="1"/>
  <c r="K106" i="6"/>
  <c r="K104" i="6" s="1"/>
  <c r="K103" i="6" s="1"/>
  <c r="I106" i="6"/>
  <c r="G105" i="6"/>
  <c r="I104" i="6"/>
  <c r="I103" i="6" s="1"/>
  <c r="G102" i="6"/>
  <c r="G101" i="6"/>
  <c r="G100" i="6"/>
  <c r="K99" i="6"/>
  <c r="J99" i="6"/>
  <c r="J97" i="6" s="1"/>
  <c r="I99" i="6"/>
  <c r="I97" i="6" s="1"/>
  <c r="H99" i="6"/>
  <c r="G99" i="6" s="1"/>
  <c r="G98" i="6"/>
  <c r="K97" i="6"/>
  <c r="H97" i="6"/>
  <c r="G95" i="6"/>
  <c r="G94" i="6"/>
  <c r="G93" i="6"/>
  <c r="H90" i="6"/>
  <c r="J89" i="6"/>
  <c r="G88" i="6"/>
  <c r="K87" i="6"/>
  <c r="K90" i="6" s="1"/>
  <c r="J87" i="6"/>
  <c r="J90" i="6" s="1"/>
  <c r="I87" i="6"/>
  <c r="H87" i="6"/>
  <c r="G86" i="6"/>
  <c r="G85" i="6"/>
  <c r="G83" i="6"/>
  <c r="I81" i="6"/>
  <c r="G81" i="6"/>
  <c r="K79" i="6"/>
  <c r="J79" i="6"/>
  <c r="J73" i="6" s="1"/>
  <c r="I79" i="6"/>
  <c r="H79" i="6"/>
  <c r="G79" i="6" s="1"/>
  <c r="G78" i="6"/>
  <c r="G77" i="6"/>
  <c r="K76" i="6"/>
  <c r="K73" i="6" s="1"/>
  <c r="J76" i="6"/>
  <c r="H76" i="6"/>
  <c r="G75" i="6"/>
  <c r="G74" i="6"/>
  <c r="H73" i="6"/>
  <c r="G72" i="6"/>
  <c r="G71" i="6"/>
  <c r="I67" i="6"/>
  <c r="H67" i="6"/>
  <c r="J65" i="6"/>
  <c r="G65" i="6"/>
  <c r="J64" i="6"/>
  <c r="I64" i="6"/>
  <c r="I62" i="6" s="1"/>
  <c r="H64" i="6"/>
  <c r="G64" i="6"/>
  <c r="K62" i="6"/>
  <c r="J62" i="6"/>
  <c r="H62" i="6"/>
  <c r="K59" i="6"/>
  <c r="K54" i="6" s="1"/>
  <c r="J59" i="6"/>
  <c r="I59" i="6"/>
  <c r="G59" i="6" s="1"/>
  <c r="H59" i="6"/>
  <c r="K56" i="6"/>
  <c r="J56" i="6"/>
  <c r="J54" i="6" s="1"/>
  <c r="I56" i="6"/>
  <c r="H56" i="6"/>
  <c r="G56" i="6" s="1"/>
  <c r="G55" i="6"/>
  <c r="H54" i="6"/>
  <c r="J51" i="6"/>
  <c r="H51" i="6"/>
  <c r="K50" i="6"/>
  <c r="K89" i="6" s="1"/>
  <c r="J50" i="6"/>
  <c r="I50" i="6"/>
  <c r="I89" i="6" s="1"/>
  <c r="G49" i="6"/>
  <c r="G48" i="6"/>
  <c r="G47" i="6"/>
  <c r="G46" i="6"/>
  <c r="G44" i="6"/>
  <c r="G42" i="6"/>
  <c r="K40" i="6"/>
  <c r="J40" i="6"/>
  <c r="J34" i="6" s="1"/>
  <c r="J128" i="6" s="1"/>
  <c r="I40" i="6"/>
  <c r="H40" i="6"/>
  <c r="H34" i="6" s="1"/>
  <c r="G39" i="6"/>
  <c r="G38" i="6"/>
  <c r="I37" i="6"/>
  <c r="G37" i="6" s="1"/>
  <c r="G36" i="6"/>
  <c r="G35" i="6"/>
  <c r="K34" i="6"/>
  <c r="K128" i="6" s="1"/>
  <c r="I34" i="6"/>
  <c r="I128" i="6" s="1"/>
  <c r="G33" i="6"/>
  <c r="G32" i="6"/>
  <c r="I28" i="6"/>
  <c r="H28" i="6"/>
  <c r="G26" i="6"/>
  <c r="G25" i="6"/>
  <c r="K23" i="6"/>
  <c r="J23" i="6"/>
  <c r="I23" i="6"/>
  <c r="G23" i="6" s="1"/>
  <c r="H23" i="6"/>
  <c r="K20" i="6"/>
  <c r="J20" i="6"/>
  <c r="J15" i="6" s="1"/>
  <c r="I20" i="6"/>
  <c r="H20" i="6"/>
  <c r="H15" i="6" s="1"/>
  <c r="K17" i="6"/>
  <c r="K15" i="6" s="1"/>
  <c r="J17" i="6"/>
  <c r="I17" i="6"/>
  <c r="H17" i="6"/>
  <c r="G17" i="6"/>
  <c r="G16" i="6"/>
  <c r="I15" i="6"/>
  <c r="I45" i="6" s="1"/>
  <c r="I84" i="6" s="1"/>
  <c r="I90" i="6" l="1"/>
  <c r="G90" i="6" s="1"/>
  <c r="G89" i="6"/>
  <c r="G15" i="6"/>
  <c r="J126" i="6"/>
  <c r="J124" i="6" s="1"/>
  <c r="J150" i="6"/>
  <c r="J148" i="6" s="1"/>
  <c r="J146" i="6" s="1"/>
  <c r="G34" i="6"/>
  <c r="H45" i="6"/>
  <c r="H128" i="6"/>
  <c r="K150" i="6"/>
  <c r="K148" i="6" s="1"/>
  <c r="K146" i="6" s="1"/>
  <c r="K126" i="6"/>
  <c r="K124" i="6" s="1"/>
  <c r="I150" i="6"/>
  <c r="I126" i="6"/>
  <c r="I124" i="6" s="1"/>
  <c r="G51" i="6"/>
  <c r="G62" i="6"/>
  <c r="G97" i="6"/>
  <c r="G137" i="6"/>
  <c r="I52" i="6"/>
  <c r="I76" i="6"/>
  <c r="G87" i="6"/>
  <c r="I149" i="6"/>
  <c r="G20" i="6"/>
  <c r="J30" i="6"/>
  <c r="G40" i="6"/>
  <c r="G50" i="6"/>
  <c r="K51" i="6"/>
  <c r="I54" i="6"/>
  <c r="G54" i="6" s="1"/>
  <c r="H106" i="6"/>
  <c r="I130" i="6"/>
  <c r="G130" i="6" s="1"/>
  <c r="I51" i="6"/>
  <c r="H136" i="6"/>
  <c r="G136" i="6" s="1"/>
  <c r="G149" i="6" l="1"/>
  <c r="I148" i="6"/>
  <c r="I146" i="6" s="1"/>
  <c r="G106" i="6"/>
  <c r="H104" i="6"/>
  <c r="G128" i="6"/>
  <c r="H150" i="6"/>
  <c r="H126" i="6"/>
  <c r="I91" i="6"/>
  <c r="J69" i="6"/>
  <c r="G69" i="6" s="1"/>
  <c r="G30" i="6"/>
  <c r="J29" i="6"/>
  <c r="H84" i="6"/>
  <c r="G76" i="6"/>
  <c r="I73" i="6"/>
  <c r="G73" i="6" s="1"/>
  <c r="H52" i="6"/>
  <c r="G104" i="6" l="1"/>
  <c r="H103" i="6"/>
  <c r="G103" i="6" s="1"/>
  <c r="J68" i="6"/>
  <c r="G29" i="6"/>
  <c r="J28" i="6"/>
  <c r="H124" i="6"/>
  <c r="G124" i="6" s="1"/>
  <c r="G126" i="6"/>
  <c r="H91" i="6"/>
  <c r="H148" i="6"/>
  <c r="G150" i="6"/>
  <c r="G148" i="6" l="1"/>
  <c r="H146" i="6"/>
  <c r="G146" i="6" s="1"/>
  <c r="G68" i="6"/>
  <c r="J67" i="6"/>
  <c r="K31" i="6"/>
  <c r="J52" i="6"/>
  <c r="J45" i="6"/>
  <c r="K70" i="6" l="1"/>
  <c r="G31" i="6"/>
  <c r="K28" i="6"/>
  <c r="K45" i="6"/>
  <c r="K84" i="6" s="1"/>
  <c r="J84" i="6"/>
  <c r="G84" i="6" l="1"/>
  <c r="J91" i="6"/>
  <c r="G45" i="6"/>
  <c r="K52" i="6"/>
  <c r="G52" i="6" s="1"/>
  <c r="G28" i="6"/>
  <c r="G70" i="6"/>
  <c r="K67" i="6"/>
  <c r="K91" i="6" l="1"/>
  <c r="G67" i="6"/>
  <c r="G91" i="6"/>
  <c r="F155" i="5" l="1"/>
  <c r="I152" i="5"/>
  <c r="F152" i="5"/>
  <c r="G147" i="5"/>
  <c r="G145" i="5"/>
  <c r="G144" i="5"/>
  <c r="G143" i="5"/>
  <c r="K142" i="5"/>
  <c r="J142" i="5"/>
  <c r="I142" i="5"/>
  <c r="G142" i="5" s="1"/>
  <c r="H142" i="5"/>
  <c r="G141" i="5"/>
  <c r="G140" i="5"/>
  <c r="K139" i="5"/>
  <c r="J139" i="5"/>
  <c r="I139" i="5"/>
  <c r="I137" i="5" s="1"/>
  <c r="I136" i="5" s="1"/>
  <c r="H139" i="5"/>
  <c r="H137" i="5" s="1"/>
  <c r="G138" i="5"/>
  <c r="K137" i="5"/>
  <c r="J137" i="5"/>
  <c r="J136" i="5" s="1"/>
  <c r="K136" i="5"/>
  <c r="G135" i="5"/>
  <c r="G134" i="5"/>
  <c r="G133" i="5"/>
  <c r="K132" i="5"/>
  <c r="K130" i="5" s="1"/>
  <c r="J132" i="5"/>
  <c r="I132" i="5"/>
  <c r="H132" i="5"/>
  <c r="H130" i="5" s="1"/>
  <c r="G130" i="5" s="1"/>
  <c r="G132" i="5"/>
  <c r="G131" i="5"/>
  <c r="J130" i="5"/>
  <c r="I130" i="5"/>
  <c r="I149" i="5"/>
  <c r="G125" i="5"/>
  <c r="G123" i="5"/>
  <c r="G122" i="5"/>
  <c r="G121" i="5"/>
  <c r="K120" i="5"/>
  <c r="J120" i="5"/>
  <c r="I120" i="5"/>
  <c r="H120" i="5"/>
  <c r="G120" i="5"/>
  <c r="G119" i="5"/>
  <c r="G118" i="5"/>
  <c r="G117" i="5"/>
  <c r="G116" i="5"/>
  <c r="G115" i="5"/>
  <c r="G114" i="5"/>
  <c r="K113" i="5"/>
  <c r="K106" i="5" s="1"/>
  <c r="K104" i="5" s="1"/>
  <c r="K103" i="5" s="1"/>
  <c r="J113" i="5"/>
  <c r="G113" i="5" s="1"/>
  <c r="I113" i="5"/>
  <c r="H113" i="5"/>
  <c r="G112" i="5"/>
  <c r="G111" i="5"/>
  <c r="K110" i="5"/>
  <c r="J110" i="5"/>
  <c r="I110" i="5"/>
  <c r="G110" i="5" s="1"/>
  <c r="H110" i="5"/>
  <c r="G109" i="5"/>
  <c r="G108" i="5"/>
  <c r="K107" i="5"/>
  <c r="J107" i="5"/>
  <c r="I107" i="5"/>
  <c r="H107" i="5"/>
  <c r="G107" i="5" s="1"/>
  <c r="I106" i="5"/>
  <c r="I104" i="5" s="1"/>
  <c r="I103" i="5" s="1"/>
  <c r="G105" i="5"/>
  <c r="G102" i="5"/>
  <c r="G101" i="5"/>
  <c r="G100" i="5"/>
  <c r="K99" i="5"/>
  <c r="J99" i="5"/>
  <c r="I99" i="5"/>
  <c r="I97" i="5" s="1"/>
  <c r="H99" i="5"/>
  <c r="H97" i="5" s="1"/>
  <c r="G98" i="5"/>
  <c r="K97" i="5"/>
  <c r="J97" i="5"/>
  <c r="G95" i="5"/>
  <c r="G94" i="5"/>
  <c r="G93" i="5"/>
  <c r="H90" i="5"/>
  <c r="G88" i="5"/>
  <c r="K87" i="5"/>
  <c r="I87" i="5"/>
  <c r="H87" i="5"/>
  <c r="G86" i="5"/>
  <c r="G85" i="5"/>
  <c r="G83" i="5"/>
  <c r="I81" i="5"/>
  <c r="G81" i="5"/>
  <c r="K79" i="5"/>
  <c r="J79" i="5"/>
  <c r="I79" i="5"/>
  <c r="H79" i="5"/>
  <c r="G79" i="5" s="1"/>
  <c r="G78" i="5"/>
  <c r="G77" i="5"/>
  <c r="K76" i="5"/>
  <c r="K73" i="5" s="1"/>
  <c r="J76" i="5"/>
  <c r="H76" i="5"/>
  <c r="H73" i="5" s="1"/>
  <c r="G75" i="5"/>
  <c r="G74" i="5"/>
  <c r="J73" i="5"/>
  <c r="G72" i="5"/>
  <c r="G71" i="5"/>
  <c r="I67" i="5"/>
  <c r="H67" i="5"/>
  <c r="J65" i="5"/>
  <c r="G65" i="5"/>
  <c r="J64" i="5"/>
  <c r="I64" i="5"/>
  <c r="G64" i="5" s="1"/>
  <c r="H64" i="5"/>
  <c r="K62" i="5"/>
  <c r="J62" i="5"/>
  <c r="H62" i="5"/>
  <c r="K59" i="5"/>
  <c r="K54" i="5" s="1"/>
  <c r="J59" i="5"/>
  <c r="I59" i="5"/>
  <c r="H59" i="5"/>
  <c r="G59" i="5"/>
  <c r="K56" i="5"/>
  <c r="J56" i="5"/>
  <c r="I56" i="5"/>
  <c r="H56" i="5"/>
  <c r="H54" i="5" s="1"/>
  <c r="G55" i="5"/>
  <c r="J54" i="5"/>
  <c r="H51" i="5"/>
  <c r="K50" i="5"/>
  <c r="K89" i="5" s="1"/>
  <c r="J50" i="5"/>
  <c r="J89" i="5" s="1"/>
  <c r="I50" i="5"/>
  <c r="I89" i="5" s="1"/>
  <c r="G89" i="5" s="1"/>
  <c r="G49" i="5"/>
  <c r="J51" i="5"/>
  <c r="G48" i="5"/>
  <c r="G47" i="5"/>
  <c r="G46" i="5"/>
  <c r="G44" i="5"/>
  <c r="G42" i="5"/>
  <c r="K40" i="5"/>
  <c r="J40" i="5"/>
  <c r="J34" i="5" s="1"/>
  <c r="J128" i="5" s="1"/>
  <c r="I40" i="5"/>
  <c r="G40" i="5" s="1"/>
  <c r="H40" i="5"/>
  <c r="G39" i="5"/>
  <c r="G38" i="5"/>
  <c r="I37" i="5"/>
  <c r="I76" i="5" s="1"/>
  <c r="G37" i="5"/>
  <c r="G36" i="5"/>
  <c r="G35" i="5"/>
  <c r="K34" i="5"/>
  <c r="K128" i="5" s="1"/>
  <c r="H34" i="5"/>
  <c r="H128" i="5" s="1"/>
  <c r="G33" i="5"/>
  <c r="G32" i="5"/>
  <c r="I28" i="5"/>
  <c r="H28" i="5"/>
  <c r="G26" i="5"/>
  <c r="G25" i="5"/>
  <c r="K23" i="5"/>
  <c r="J23" i="5"/>
  <c r="I23" i="5"/>
  <c r="H23" i="5"/>
  <c r="G23" i="5" s="1"/>
  <c r="K20" i="5"/>
  <c r="J20" i="5"/>
  <c r="I20" i="5"/>
  <c r="G20" i="5" s="1"/>
  <c r="H20" i="5"/>
  <c r="K17" i="5"/>
  <c r="K15" i="5" s="1"/>
  <c r="J17" i="5"/>
  <c r="J15" i="5" s="1"/>
  <c r="I17" i="5"/>
  <c r="H17" i="5"/>
  <c r="G16" i="5"/>
  <c r="H15" i="5"/>
  <c r="K90" i="5" l="1"/>
  <c r="H126" i="5"/>
  <c r="H150" i="5"/>
  <c r="I90" i="5"/>
  <c r="I73" i="5"/>
  <c r="G76" i="5"/>
  <c r="G73" i="5"/>
  <c r="K126" i="5"/>
  <c r="K124" i="5" s="1"/>
  <c r="K150" i="5"/>
  <c r="K148" i="5" s="1"/>
  <c r="K146" i="5" s="1"/>
  <c r="J150" i="5"/>
  <c r="J148" i="5" s="1"/>
  <c r="J146" i="5" s="1"/>
  <c r="J126" i="5"/>
  <c r="J124" i="5" s="1"/>
  <c r="G97" i="5"/>
  <c r="G149" i="5"/>
  <c r="G137" i="5"/>
  <c r="H136" i="5"/>
  <c r="G136" i="5" s="1"/>
  <c r="I15" i="5"/>
  <c r="I51" i="5"/>
  <c r="G34" i="5"/>
  <c r="G50" i="5"/>
  <c r="K51" i="5"/>
  <c r="G56" i="5"/>
  <c r="I62" i="5"/>
  <c r="G62" i="5" s="1"/>
  <c r="G99" i="5"/>
  <c r="H106" i="5"/>
  <c r="G127" i="5"/>
  <c r="G139" i="5"/>
  <c r="G17" i="5"/>
  <c r="I34" i="5"/>
  <c r="J87" i="5"/>
  <c r="J90" i="5" s="1"/>
  <c r="J106" i="5"/>
  <c r="J104" i="5" s="1"/>
  <c r="J103" i="5" s="1"/>
  <c r="H45" i="5"/>
  <c r="G51" i="5" l="1"/>
  <c r="G87" i="5"/>
  <c r="H84" i="5"/>
  <c r="J29" i="5"/>
  <c r="G90" i="5"/>
  <c r="I52" i="5"/>
  <c r="I45" i="5"/>
  <c r="I84" i="5" s="1"/>
  <c r="G15" i="5"/>
  <c r="I54" i="5"/>
  <c r="H148" i="5"/>
  <c r="J30" i="5"/>
  <c r="I128" i="5"/>
  <c r="G106" i="5"/>
  <c r="H104" i="5"/>
  <c r="H124" i="5"/>
  <c r="H52" i="5"/>
  <c r="I91" i="5" l="1"/>
  <c r="G54" i="5"/>
  <c r="J69" i="5"/>
  <c r="G69" i="5" s="1"/>
  <c r="G30" i="5"/>
  <c r="J68" i="5"/>
  <c r="G29" i="5"/>
  <c r="J28" i="5"/>
  <c r="H146" i="5"/>
  <c r="H91" i="5"/>
  <c r="I150" i="5"/>
  <c r="I126" i="5"/>
  <c r="G128" i="5"/>
  <c r="G104" i="5"/>
  <c r="H103" i="5"/>
  <c r="G103" i="5" s="1"/>
  <c r="K31" i="5" l="1"/>
  <c r="J45" i="5"/>
  <c r="J52" i="5" s="1"/>
  <c r="I124" i="5"/>
  <c r="G124" i="5" s="1"/>
  <c r="G126" i="5"/>
  <c r="I148" i="5"/>
  <c r="G150" i="5"/>
  <c r="G68" i="5"/>
  <c r="J67" i="5"/>
  <c r="I146" i="5" l="1"/>
  <c r="G146" i="5" s="1"/>
  <c r="G148" i="5"/>
  <c r="J84" i="5"/>
  <c r="J91" i="5" s="1"/>
  <c r="K70" i="5"/>
  <c r="K28" i="5"/>
  <c r="K45" i="5"/>
  <c r="K84" i="5" s="1"/>
  <c r="G31" i="5"/>
  <c r="G45" i="5" l="1"/>
  <c r="G84" i="5"/>
  <c r="G70" i="5"/>
  <c r="K67" i="5"/>
  <c r="K52" i="5"/>
  <c r="G52" i="5" s="1"/>
  <c r="G28" i="5"/>
  <c r="K91" i="5" l="1"/>
  <c r="G91" i="5" s="1"/>
  <c r="G67" i="5"/>
  <c r="F157" i="4" l="1"/>
  <c r="I154" i="4"/>
  <c r="F154" i="4"/>
  <c r="G149" i="4"/>
  <c r="G147" i="4"/>
  <c r="G146" i="4"/>
  <c r="G145" i="4"/>
  <c r="K144" i="4"/>
  <c r="J144" i="4"/>
  <c r="I144" i="4"/>
  <c r="G144" i="4" s="1"/>
  <c r="H144" i="4"/>
  <c r="G143" i="4"/>
  <c r="G142" i="4"/>
  <c r="K141" i="4"/>
  <c r="J141" i="4"/>
  <c r="I141" i="4"/>
  <c r="I139" i="4" s="1"/>
  <c r="I138" i="4" s="1"/>
  <c r="H141" i="4"/>
  <c r="G141" i="4" s="1"/>
  <c r="G140" i="4"/>
  <c r="K139" i="4"/>
  <c r="J139" i="4"/>
  <c r="J138" i="4" s="1"/>
  <c r="K138" i="4"/>
  <c r="G137" i="4"/>
  <c r="G136" i="4"/>
  <c r="G135" i="4"/>
  <c r="K134" i="4"/>
  <c r="K132" i="4" s="1"/>
  <c r="J134" i="4"/>
  <c r="I134" i="4"/>
  <c r="H134" i="4"/>
  <c r="H132" i="4" s="1"/>
  <c r="G132" i="4" s="1"/>
  <c r="G134" i="4"/>
  <c r="G133" i="4"/>
  <c r="J132" i="4"/>
  <c r="I132" i="4"/>
  <c r="G129" i="4"/>
  <c r="G127" i="4"/>
  <c r="G125" i="4"/>
  <c r="G124" i="4"/>
  <c r="G123" i="4"/>
  <c r="K122" i="4"/>
  <c r="J122" i="4"/>
  <c r="I122" i="4"/>
  <c r="H122" i="4"/>
  <c r="G122" i="4"/>
  <c r="G121" i="4"/>
  <c r="G120" i="4"/>
  <c r="G119" i="4"/>
  <c r="G118" i="4"/>
  <c r="G117" i="4"/>
  <c r="G116" i="4"/>
  <c r="K115" i="4"/>
  <c r="J115" i="4"/>
  <c r="I115" i="4"/>
  <c r="H115" i="4"/>
  <c r="G115" i="4" s="1"/>
  <c r="G114" i="4"/>
  <c r="G113" i="4"/>
  <c r="K112" i="4"/>
  <c r="J112" i="4"/>
  <c r="I112" i="4"/>
  <c r="G112" i="4" s="1"/>
  <c r="H112" i="4"/>
  <c r="G111" i="4"/>
  <c r="G110" i="4"/>
  <c r="K109" i="4"/>
  <c r="J109" i="4"/>
  <c r="J108" i="4" s="1"/>
  <c r="J106" i="4" s="1"/>
  <c r="J105" i="4" s="1"/>
  <c r="I109" i="4"/>
  <c r="H109" i="4"/>
  <c r="G109" i="4" s="1"/>
  <c r="K108" i="4"/>
  <c r="I108" i="4"/>
  <c r="I106" i="4" s="1"/>
  <c r="I105" i="4" s="1"/>
  <c r="G107" i="4"/>
  <c r="K106" i="4"/>
  <c r="K105" i="4" s="1"/>
  <c r="G104" i="4"/>
  <c r="G103" i="4"/>
  <c r="G102" i="4"/>
  <c r="K101" i="4"/>
  <c r="J101" i="4"/>
  <c r="I101" i="4"/>
  <c r="I99" i="4" s="1"/>
  <c r="H101" i="4"/>
  <c r="G101" i="4" s="1"/>
  <c r="G100" i="4"/>
  <c r="K99" i="4"/>
  <c r="J99" i="4"/>
  <c r="G97" i="4"/>
  <c r="G96" i="4"/>
  <c r="G95" i="4"/>
  <c r="H92" i="4"/>
  <c r="J91" i="4"/>
  <c r="G90" i="4"/>
  <c r="K89" i="4"/>
  <c r="J89" i="4"/>
  <c r="J92" i="4" s="1"/>
  <c r="I89" i="4"/>
  <c r="H89" i="4"/>
  <c r="G88" i="4"/>
  <c r="G87" i="4"/>
  <c r="G85" i="4"/>
  <c r="I83" i="4"/>
  <c r="G83" i="4"/>
  <c r="K81" i="4"/>
  <c r="J81" i="4"/>
  <c r="I81" i="4"/>
  <c r="H81" i="4"/>
  <c r="G81" i="4" s="1"/>
  <c r="G80" i="4"/>
  <c r="G79" i="4"/>
  <c r="K78" i="4"/>
  <c r="K75" i="4" s="1"/>
  <c r="J78" i="4"/>
  <c r="H78" i="4"/>
  <c r="G77" i="4"/>
  <c r="G76" i="4"/>
  <c r="J75" i="4"/>
  <c r="G74" i="4"/>
  <c r="G73" i="4"/>
  <c r="I69" i="4"/>
  <c r="H69" i="4"/>
  <c r="J67" i="4"/>
  <c r="G67" i="4"/>
  <c r="J66" i="4"/>
  <c r="I66" i="4"/>
  <c r="I64" i="4" s="1"/>
  <c r="H66" i="4"/>
  <c r="K64" i="4"/>
  <c r="J64" i="4"/>
  <c r="H64" i="4"/>
  <c r="G64" i="4" s="1"/>
  <c r="K61" i="4"/>
  <c r="G61" i="4" s="1"/>
  <c r="J61" i="4"/>
  <c r="I61" i="4"/>
  <c r="I55" i="4" s="1"/>
  <c r="H61" i="4"/>
  <c r="J59" i="4"/>
  <c r="G59" i="4"/>
  <c r="K57" i="4"/>
  <c r="K55" i="4" s="1"/>
  <c r="J57" i="4"/>
  <c r="J55" i="4" s="1"/>
  <c r="I57" i="4"/>
  <c r="H57" i="4"/>
  <c r="G57" i="4" s="1"/>
  <c r="G56" i="4"/>
  <c r="H55" i="4"/>
  <c r="J52" i="4"/>
  <c r="H52" i="4"/>
  <c r="K51" i="4"/>
  <c r="K52" i="4" s="1"/>
  <c r="J51" i="4"/>
  <c r="I51" i="4"/>
  <c r="I91" i="4" s="1"/>
  <c r="G50" i="4"/>
  <c r="G49" i="4"/>
  <c r="G48" i="4"/>
  <c r="G47" i="4"/>
  <c r="G45" i="4"/>
  <c r="G43" i="4"/>
  <c r="K41" i="4"/>
  <c r="J41" i="4"/>
  <c r="J35" i="4" s="1"/>
  <c r="J130" i="4" s="1"/>
  <c r="I41" i="4"/>
  <c r="H41" i="4"/>
  <c r="G41" i="4" s="1"/>
  <c r="G40" i="4"/>
  <c r="G39" i="4"/>
  <c r="I38" i="4"/>
  <c r="G38" i="4" s="1"/>
  <c r="G37" i="4"/>
  <c r="G36" i="4"/>
  <c r="K35" i="4"/>
  <c r="K130" i="4" s="1"/>
  <c r="I35" i="4"/>
  <c r="J31" i="4" s="1"/>
  <c r="G34" i="4"/>
  <c r="G33" i="4"/>
  <c r="I29" i="4"/>
  <c r="H29" i="4"/>
  <c r="G27" i="4"/>
  <c r="G26" i="4"/>
  <c r="K24" i="4"/>
  <c r="K15" i="4" s="1"/>
  <c r="J24" i="4"/>
  <c r="I24" i="4"/>
  <c r="G24" i="4" s="1"/>
  <c r="H24" i="4"/>
  <c r="K21" i="4"/>
  <c r="J21" i="4"/>
  <c r="I21" i="4"/>
  <c r="H21" i="4"/>
  <c r="G21" i="4" s="1"/>
  <c r="G19" i="4"/>
  <c r="K17" i="4"/>
  <c r="J17" i="4"/>
  <c r="I17" i="4"/>
  <c r="I15" i="4" s="1"/>
  <c r="H17" i="4"/>
  <c r="G17" i="4" s="1"/>
  <c r="G16" i="4"/>
  <c r="J15" i="4"/>
  <c r="J71" i="4" l="1"/>
  <c r="G71" i="4" s="1"/>
  <c r="G31" i="4"/>
  <c r="I92" i="4"/>
  <c r="K152" i="4"/>
  <c r="K150" i="4" s="1"/>
  <c r="K148" i="4" s="1"/>
  <c r="K128" i="4"/>
  <c r="K126" i="4" s="1"/>
  <c r="J128" i="4"/>
  <c r="J126" i="4" s="1"/>
  <c r="J152" i="4"/>
  <c r="J150" i="4" s="1"/>
  <c r="J148" i="4" s="1"/>
  <c r="I53" i="4"/>
  <c r="I46" i="4"/>
  <c r="I86" i="4" s="1"/>
  <c r="G55" i="4"/>
  <c r="H15" i="4"/>
  <c r="G66" i="4"/>
  <c r="H75" i="4"/>
  <c r="I78" i="4"/>
  <c r="G89" i="4"/>
  <c r="H99" i="4"/>
  <c r="G99" i="4" s="1"/>
  <c r="H139" i="4"/>
  <c r="I151" i="4"/>
  <c r="H35" i="4"/>
  <c r="I52" i="4"/>
  <c r="G52" i="4" s="1"/>
  <c r="K91" i="4"/>
  <c r="K92" i="4" s="1"/>
  <c r="H108" i="4"/>
  <c r="I130" i="4"/>
  <c r="G51" i="4"/>
  <c r="H46" i="4" l="1"/>
  <c r="H130" i="4"/>
  <c r="G35" i="4"/>
  <c r="G151" i="4"/>
  <c r="G15" i="4"/>
  <c r="H53" i="4"/>
  <c r="G139" i="4"/>
  <c r="H138" i="4"/>
  <c r="G138" i="4" s="1"/>
  <c r="G78" i="4"/>
  <c r="I75" i="4"/>
  <c r="I93" i="4" s="1"/>
  <c r="G91" i="4"/>
  <c r="I152" i="4"/>
  <c r="I150" i="4" s="1"/>
  <c r="I148" i="4" s="1"/>
  <c r="I128" i="4"/>
  <c r="I126" i="4" s="1"/>
  <c r="G92" i="4"/>
  <c r="H106" i="4"/>
  <c r="G108" i="4"/>
  <c r="G75" i="4" l="1"/>
  <c r="G130" i="4"/>
  <c r="H152" i="4"/>
  <c r="H128" i="4"/>
  <c r="H105" i="4"/>
  <c r="G105" i="4" s="1"/>
  <c r="G106" i="4"/>
  <c r="H86" i="4"/>
  <c r="J30" i="4"/>
  <c r="H93" i="4" l="1"/>
  <c r="H150" i="4"/>
  <c r="G152" i="4"/>
  <c r="J29" i="4"/>
  <c r="J70" i="4"/>
  <c r="G30" i="4"/>
  <c r="H126" i="4"/>
  <c r="G126" i="4" s="1"/>
  <c r="G128" i="4"/>
  <c r="G150" i="4" l="1"/>
  <c r="H148" i="4"/>
  <c r="G148" i="4" s="1"/>
  <c r="G70" i="4"/>
  <c r="J69" i="4"/>
  <c r="J46" i="4"/>
  <c r="K32" i="4"/>
  <c r="K29" i="4" l="1"/>
  <c r="K46" i="4"/>
  <c r="K86" i="4" s="1"/>
  <c r="K72" i="4"/>
  <c r="G32" i="4"/>
  <c r="J86" i="4"/>
  <c r="G86" i="4" s="1"/>
  <c r="G46" i="4"/>
  <c r="J53" i="4"/>
  <c r="J93" i="4" l="1"/>
  <c r="G72" i="4"/>
  <c r="K69" i="4"/>
  <c r="G53" i="4"/>
  <c r="K53" i="4"/>
  <c r="G29" i="4"/>
  <c r="K93" i="4" l="1"/>
  <c r="G69" i="4"/>
  <c r="G93" i="4"/>
  <c r="J130" i="2" l="1"/>
  <c r="I130" i="2"/>
  <c r="H152" i="1"/>
  <c r="J130" i="1"/>
  <c r="I130" i="1"/>
  <c r="J91" i="2" l="1"/>
  <c r="K91" i="2"/>
  <c r="I91" i="2"/>
  <c r="I89" i="2"/>
  <c r="J89" i="2"/>
  <c r="K89" i="2"/>
  <c r="H89" i="2"/>
  <c r="H92" i="2" s="1"/>
  <c r="I86" i="2"/>
  <c r="J86" i="2"/>
  <c r="K86" i="2"/>
  <c r="H86" i="2"/>
  <c r="I83" i="2"/>
  <c r="I78" i="2"/>
  <c r="J78" i="2"/>
  <c r="K78" i="2"/>
  <c r="H78" i="2"/>
  <c r="K72" i="2"/>
  <c r="J71" i="2"/>
  <c r="J70" i="2"/>
  <c r="J67" i="2"/>
  <c r="I66" i="2"/>
  <c r="J66" i="2"/>
  <c r="H66" i="2"/>
  <c r="H64" i="2" s="1"/>
  <c r="K51" i="2"/>
  <c r="J51" i="2"/>
  <c r="I51" i="2"/>
  <c r="I38" i="2"/>
  <c r="F157" i="2"/>
  <c r="I154" i="2"/>
  <c r="F154" i="2"/>
  <c r="G149" i="2"/>
  <c r="G147" i="2"/>
  <c r="G146" i="2"/>
  <c r="G145" i="2"/>
  <c r="K144" i="2"/>
  <c r="J144" i="2"/>
  <c r="I144" i="2"/>
  <c r="G144" i="2" s="1"/>
  <c r="H144" i="2"/>
  <c r="G143" i="2"/>
  <c r="G142" i="2"/>
  <c r="K141" i="2"/>
  <c r="J141" i="2"/>
  <c r="I141" i="2"/>
  <c r="I139" i="2" s="1"/>
  <c r="I138" i="2" s="1"/>
  <c r="H141" i="2"/>
  <c r="G141" i="2" s="1"/>
  <c r="G140" i="2"/>
  <c r="K139" i="2"/>
  <c r="J139" i="2"/>
  <c r="J138" i="2" s="1"/>
  <c r="K138" i="2"/>
  <c r="G137" i="2"/>
  <c r="G136" i="2"/>
  <c r="G135" i="2"/>
  <c r="K134" i="2"/>
  <c r="K132" i="2" s="1"/>
  <c r="J134" i="2"/>
  <c r="I134" i="2"/>
  <c r="H134" i="2"/>
  <c r="H132" i="2" s="1"/>
  <c r="G132" i="2" s="1"/>
  <c r="G134" i="2"/>
  <c r="G133" i="2"/>
  <c r="J132" i="2"/>
  <c r="I132" i="2"/>
  <c r="G129" i="2"/>
  <c r="G127" i="2"/>
  <c r="G125" i="2"/>
  <c r="G124" i="2"/>
  <c r="G123" i="2"/>
  <c r="K122" i="2"/>
  <c r="J122" i="2"/>
  <c r="I122" i="2"/>
  <c r="H122" i="2"/>
  <c r="G122" i="2"/>
  <c r="G121" i="2"/>
  <c r="G120" i="2"/>
  <c r="G119" i="2"/>
  <c r="G118" i="2"/>
  <c r="G117" i="2"/>
  <c r="G116" i="2"/>
  <c r="K115" i="2"/>
  <c r="J115" i="2"/>
  <c r="I115" i="2"/>
  <c r="H115" i="2"/>
  <c r="G115" i="2" s="1"/>
  <c r="G114" i="2"/>
  <c r="G113" i="2"/>
  <c r="K112" i="2"/>
  <c r="J112" i="2"/>
  <c r="I112" i="2"/>
  <c r="G112" i="2" s="1"/>
  <c r="H112" i="2"/>
  <c r="G111" i="2"/>
  <c r="G110" i="2"/>
  <c r="K109" i="2"/>
  <c r="J109" i="2"/>
  <c r="J108" i="2" s="1"/>
  <c r="J106" i="2" s="1"/>
  <c r="J105" i="2" s="1"/>
  <c r="I109" i="2"/>
  <c r="H109" i="2"/>
  <c r="G109" i="2" s="1"/>
  <c r="K108" i="2"/>
  <c r="I108" i="2"/>
  <c r="I106" i="2" s="1"/>
  <c r="I105" i="2" s="1"/>
  <c r="G107" i="2"/>
  <c r="K106" i="2"/>
  <c r="K105" i="2" s="1"/>
  <c r="G104" i="2"/>
  <c r="G103" i="2"/>
  <c r="G102" i="2"/>
  <c r="K101" i="2"/>
  <c r="J101" i="2"/>
  <c r="I101" i="2"/>
  <c r="I99" i="2" s="1"/>
  <c r="H101" i="2"/>
  <c r="H99" i="2" s="1"/>
  <c r="G100" i="2"/>
  <c r="K99" i="2"/>
  <c r="J99" i="2"/>
  <c r="G97" i="2"/>
  <c r="G96" i="2"/>
  <c r="G95" i="2"/>
  <c r="G90" i="2"/>
  <c r="G88" i="2"/>
  <c r="G87" i="2"/>
  <c r="G85" i="2"/>
  <c r="G83" i="2"/>
  <c r="K81" i="2"/>
  <c r="J81" i="2"/>
  <c r="I81" i="2"/>
  <c r="H81" i="2"/>
  <c r="G81" i="2" s="1"/>
  <c r="G80" i="2"/>
  <c r="G79" i="2"/>
  <c r="K75" i="2"/>
  <c r="G77" i="2"/>
  <c r="G76" i="2"/>
  <c r="J75" i="2"/>
  <c r="G74" i="2"/>
  <c r="G73" i="2"/>
  <c r="I69" i="2"/>
  <c r="H69" i="2"/>
  <c r="G67" i="2"/>
  <c r="I64" i="2"/>
  <c r="K64" i="2"/>
  <c r="J64" i="2"/>
  <c r="K61" i="2"/>
  <c r="J61" i="2"/>
  <c r="I61" i="2"/>
  <c r="I55" i="2" s="1"/>
  <c r="H61" i="2"/>
  <c r="G61" i="2"/>
  <c r="J59" i="2"/>
  <c r="G59" i="2"/>
  <c r="K57" i="2"/>
  <c r="K55" i="2" s="1"/>
  <c r="J57" i="2"/>
  <c r="I57" i="2"/>
  <c r="H57" i="2"/>
  <c r="G57" i="2" s="1"/>
  <c r="G56" i="2"/>
  <c r="J52" i="2"/>
  <c r="H52" i="2"/>
  <c r="K52" i="2"/>
  <c r="G50" i="2"/>
  <c r="G49" i="2"/>
  <c r="G48" i="2"/>
  <c r="G47" i="2"/>
  <c r="G45" i="2"/>
  <c r="G43" i="2"/>
  <c r="K41" i="2"/>
  <c r="J41" i="2"/>
  <c r="J35" i="2" s="1"/>
  <c r="I41" i="2"/>
  <c r="H41" i="2"/>
  <c r="G41" i="2" s="1"/>
  <c r="G40" i="2"/>
  <c r="G39" i="2"/>
  <c r="G37" i="2"/>
  <c r="G36" i="2"/>
  <c r="K35" i="2"/>
  <c r="K130" i="2" s="1"/>
  <c r="I35" i="2"/>
  <c r="J31" i="2" s="1"/>
  <c r="G34" i="2"/>
  <c r="G33" i="2"/>
  <c r="I29" i="2"/>
  <c r="H29" i="2"/>
  <c r="G27" i="2"/>
  <c r="G26" i="2"/>
  <c r="K24" i="2"/>
  <c r="K15" i="2" s="1"/>
  <c r="J24" i="2"/>
  <c r="J15" i="2" s="1"/>
  <c r="I24" i="2"/>
  <c r="H24" i="2"/>
  <c r="K21" i="2"/>
  <c r="J21" i="2"/>
  <c r="I21" i="2"/>
  <c r="H21" i="2"/>
  <c r="G21" i="2" s="1"/>
  <c r="G19" i="2"/>
  <c r="K17" i="2"/>
  <c r="J17" i="2"/>
  <c r="I17" i="2"/>
  <c r="H17" i="2"/>
  <c r="G16" i="2"/>
  <c r="J92" i="2" l="1"/>
  <c r="J55" i="2"/>
  <c r="G55" i="2" s="1"/>
  <c r="I15" i="2"/>
  <c r="G64" i="2"/>
  <c r="H55" i="2"/>
  <c r="H15" i="2"/>
  <c r="G15" i="2" s="1"/>
  <c r="G24" i="2"/>
  <c r="K152" i="2"/>
  <c r="K150" i="2" s="1"/>
  <c r="K148" i="2" s="1"/>
  <c r="K128" i="2"/>
  <c r="K126" i="2" s="1"/>
  <c r="J128" i="2"/>
  <c r="J126" i="2" s="1"/>
  <c r="J152" i="2"/>
  <c r="J150" i="2" s="1"/>
  <c r="J148" i="2" s="1"/>
  <c r="I92" i="2"/>
  <c r="G99" i="2"/>
  <c r="G71" i="2"/>
  <c r="G31" i="2"/>
  <c r="I46" i="2"/>
  <c r="G78" i="2"/>
  <c r="I75" i="2"/>
  <c r="G66" i="2"/>
  <c r="H75" i="2"/>
  <c r="H139" i="2"/>
  <c r="I151" i="2"/>
  <c r="G17" i="2"/>
  <c r="H35" i="2"/>
  <c r="I52" i="2"/>
  <c r="G52" i="2" s="1"/>
  <c r="K92" i="2"/>
  <c r="G101" i="2"/>
  <c r="H108" i="2"/>
  <c r="G38" i="2"/>
  <c r="G51" i="2"/>
  <c r="G89" i="2"/>
  <c r="K51" i="1"/>
  <c r="K52" i="1" s="1"/>
  <c r="J51" i="1"/>
  <c r="J52" i="1" s="1"/>
  <c r="I51" i="1"/>
  <c r="I38" i="1"/>
  <c r="F157" i="3"/>
  <c r="I154" i="3"/>
  <c r="F154" i="3"/>
  <c r="G149" i="3"/>
  <c r="G147" i="3"/>
  <c r="G146" i="3"/>
  <c r="G145" i="3"/>
  <c r="K144" i="3"/>
  <c r="J144" i="3"/>
  <c r="I144" i="3"/>
  <c r="H144" i="3"/>
  <c r="G144" i="3"/>
  <c r="G143" i="3"/>
  <c r="G142" i="3"/>
  <c r="K141" i="3"/>
  <c r="J141" i="3"/>
  <c r="I141" i="3"/>
  <c r="I139" i="3" s="1"/>
  <c r="I138" i="3" s="1"/>
  <c r="H141" i="3"/>
  <c r="G141" i="3" s="1"/>
  <c r="G140" i="3"/>
  <c r="K139" i="3"/>
  <c r="J139" i="3"/>
  <c r="J138" i="3" s="1"/>
  <c r="H139" i="3"/>
  <c r="G139" i="3" s="1"/>
  <c r="K138" i="3"/>
  <c r="G137" i="3"/>
  <c r="G136" i="3"/>
  <c r="G135" i="3"/>
  <c r="K134" i="3"/>
  <c r="J134" i="3"/>
  <c r="I134" i="3"/>
  <c r="H134" i="3"/>
  <c r="H132" i="3" s="1"/>
  <c r="G132" i="3" s="1"/>
  <c r="G134" i="3"/>
  <c r="G133" i="3"/>
  <c r="K132" i="3"/>
  <c r="J132" i="3"/>
  <c r="I132" i="3"/>
  <c r="I151" i="3"/>
  <c r="G127" i="3"/>
  <c r="G125" i="3"/>
  <c r="G124" i="3"/>
  <c r="G123" i="3"/>
  <c r="K122" i="3"/>
  <c r="J122" i="3"/>
  <c r="I122" i="3"/>
  <c r="G122" i="3" s="1"/>
  <c r="H122" i="3"/>
  <c r="G121" i="3"/>
  <c r="G120" i="3"/>
  <c r="G119" i="3"/>
  <c r="G118" i="3"/>
  <c r="G117" i="3"/>
  <c r="G116" i="3"/>
  <c r="K115" i="3"/>
  <c r="J115" i="3"/>
  <c r="I115" i="3"/>
  <c r="H115" i="3"/>
  <c r="G115" i="3" s="1"/>
  <c r="G114" i="3"/>
  <c r="G113" i="3"/>
  <c r="K112" i="3"/>
  <c r="J112" i="3"/>
  <c r="I112" i="3"/>
  <c r="G112" i="3" s="1"/>
  <c r="H112" i="3"/>
  <c r="G111" i="3"/>
  <c r="G110" i="3"/>
  <c r="K109" i="3"/>
  <c r="J109" i="3"/>
  <c r="J108" i="3" s="1"/>
  <c r="J106" i="3" s="1"/>
  <c r="J105" i="3" s="1"/>
  <c r="I109" i="3"/>
  <c r="H109" i="3"/>
  <c r="G109" i="3" s="1"/>
  <c r="K108" i="3"/>
  <c r="K106" i="3" s="1"/>
  <c r="K105" i="3" s="1"/>
  <c r="I108" i="3"/>
  <c r="I106" i="3" s="1"/>
  <c r="I105" i="3" s="1"/>
  <c r="G107" i="3"/>
  <c r="G104" i="3"/>
  <c r="G103" i="3"/>
  <c r="G102" i="3"/>
  <c r="K101" i="3"/>
  <c r="J101" i="3"/>
  <c r="I101" i="3"/>
  <c r="I99" i="3" s="1"/>
  <c r="H101" i="3"/>
  <c r="G101" i="3" s="1"/>
  <c r="G100" i="3"/>
  <c r="K99" i="3"/>
  <c r="J99" i="3"/>
  <c r="G97" i="3"/>
  <c r="G96" i="3"/>
  <c r="G95" i="3"/>
  <c r="J91" i="3"/>
  <c r="G90" i="3"/>
  <c r="K89" i="3"/>
  <c r="J89" i="3"/>
  <c r="J92" i="3" s="1"/>
  <c r="I89" i="3"/>
  <c r="H89" i="3"/>
  <c r="H92" i="3" s="1"/>
  <c r="G88" i="3"/>
  <c r="G87" i="3"/>
  <c r="G85" i="3"/>
  <c r="I83" i="3"/>
  <c r="G83" i="3"/>
  <c r="K81" i="3"/>
  <c r="J81" i="3"/>
  <c r="I81" i="3"/>
  <c r="H81" i="3"/>
  <c r="G81" i="3" s="1"/>
  <c r="G80" i="3"/>
  <c r="G79" i="3"/>
  <c r="K78" i="3"/>
  <c r="K75" i="3" s="1"/>
  <c r="J78" i="3"/>
  <c r="H78" i="3"/>
  <c r="G77" i="3"/>
  <c r="G76" i="3"/>
  <c r="J75" i="3"/>
  <c r="H75" i="3"/>
  <c r="G74" i="3"/>
  <c r="G73" i="3"/>
  <c r="I69" i="3"/>
  <c r="H69" i="3"/>
  <c r="J67" i="3"/>
  <c r="G67" i="3"/>
  <c r="I66" i="3"/>
  <c r="I64" i="3" s="1"/>
  <c r="H66" i="3"/>
  <c r="K64" i="3"/>
  <c r="H64" i="3"/>
  <c r="K61" i="3"/>
  <c r="J61" i="3"/>
  <c r="I61" i="3"/>
  <c r="I55" i="3" s="1"/>
  <c r="H61" i="3"/>
  <c r="J59" i="3"/>
  <c r="G59" i="3"/>
  <c r="K57" i="3"/>
  <c r="K55" i="3" s="1"/>
  <c r="J57" i="3"/>
  <c r="I57" i="3"/>
  <c r="H57" i="3"/>
  <c r="G57" i="3" s="1"/>
  <c r="G56" i="3"/>
  <c r="J52" i="3"/>
  <c r="H52" i="3"/>
  <c r="K51" i="3"/>
  <c r="K52" i="3" s="1"/>
  <c r="J51" i="3"/>
  <c r="I51" i="3"/>
  <c r="I91" i="3" s="1"/>
  <c r="G50" i="3"/>
  <c r="G49" i="3"/>
  <c r="G48" i="3"/>
  <c r="G47" i="3"/>
  <c r="G45" i="3"/>
  <c r="G43" i="3"/>
  <c r="K41" i="3"/>
  <c r="J41" i="3"/>
  <c r="J35" i="3" s="1"/>
  <c r="J130" i="3" s="1"/>
  <c r="I41" i="3"/>
  <c r="H41" i="3"/>
  <c r="G41" i="3" s="1"/>
  <c r="G40" i="3"/>
  <c r="G39" i="3"/>
  <c r="I38" i="3"/>
  <c r="G38" i="3" s="1"/>
  <c r="G37" i="3"/>
  <c r="G36" i="3"/>
  <c r="K35" i="3"/>
  <c r="K130" i="3" s="1"/>
  <c r="G34" i="3"/>
  <c r="G33" i="3"/>
  <c r="I29" i="3"/>
  <c r="H29" i="3"/>
  <c r="G27" i="3"/>
  <c r="J26" i="3"/>
  <c r="J66" i="3" s="1"/>
  <c r="G26" i="3"/>
  <c r="K24" i="3"/>
  <c r="J24" i="3"/>
  <c r="I24" i="3"/>
  <c r="H24" i="3"/>
  <c r="G24" i="3" s="1"/>
  <c r="K21" i="3"/>
  <c r="J21" i="3"/>
  <c r="I21" i="3"/>
  <c r="G21" i="3" s="1"/>
  <c r="H21" i="3"/>
  <c r="G19" i="3"/>
  <c r="K17" i="3"/>
  <c r="K15" i="3" s="1"/>
  <c r="J17" i="3"/>
  <c r="I17" i="3"/>
  <c r="H17" i="3"/>
  <c r="G17" i="3"/>
  <c r="G16" i="3"/>
  <c r="I15" i="3"/>
  <c r="F157" i="1"/>
  <c r="I154" i="1"/>
  <c r="F154" i="1"/>
  <c r="G149" i="1"/>
  <c r="G147" i="1"/>
  <c r="G146" i="1"/>
  <c r="G145" i="1"/>
  <c r="K144" i="1"/>
  <c r="J144" i="1"/>
  <c r="I144" i="1"/>
  <c r="H144" i="1"/>
  <c r="G144" i="1"/>
  <c r="G143" i="1"/>
  <c r="G142" i="1"/>
  <c r="K141" i="1"/>
  <c r="J141" i="1"/>
  <c r="I141" i="1"/>
  <c r="H141" i="1"/>
  <c r="G141" i="1" s="1"/>
  <c r="G140" i="1"/>
  <c r="K139" i="1"/>
  <c r="J139" i="1"/>
  <c r="J138" i="1" s="1"/>
  <c r="I139" i="1"/>
  <c r="H139" i="1"/>
  <c r="G139" i="1" s="1"/>
  <c r="K138" i="1"/>
  <c r="I138" i="1"/>
  <c r="G137" i="1"/>
  <c r="G136" i="1"/>
  <c r="G135" i="1"/>
  <c r="K134" i="1"/>
  <c r="J134" i="1"/>
  <c r="I134" i="1"/>
  <c r="H134" i="1"/>
  <c r="G134" i="1"/>
  <c r="G133" i="1"/>
  <c r="K132" i="1"/>
  <c r="J132" i="1"/>
  <c r="I132" i="1"/>
  <c r="G132" i="1" s="1"/>
  <c r="H132" i="1"/>
  <c r="I151" i="1"/>
  <c r="N149" i="6" s="1"/>
  <c r="G127" i="1"/>
  <c r="G125" i="1"/>
  <c r="G124" i="1"/>
  <c r="G123" i="1"/>
  <c r="K122" i="1"/>
  <c r="J122" i="1"/>
  <c r="I122" i="1"/>
  <c r="H122" i="1"/>
  <c r="G122" i="1"/>
  <c r="G121" i="1"/>
  <c r="G120" i="1"/>
  <c r="G119" i="1"/>
  <c r="G118" i="1"/>
  <c r="G117" i="1"/>
  <c r="G116" i="1"/>
  <c r="K115" i="1"/>
  <c r="J115" i="1"/>
  <c r="I115" i="1"/>
  <c r="H115" i="1"/>
  <c r="G115" i="1" s="1"/>
  <c r="G114" i="1"/>
  <c r="G113" i="1"/>
  <c r="K112" i="1"/>
  <c r="J112" i="1"/>
  <c r="I112" i="1"/>
  <c r="H112" i="1"/>
  <c r="G112" i="1"/>
  <c r="G111" i="1"/>
  <c r="G110" i="1"/>
  <c r="K109" i="1"/>
  <c r="J109" i="1"/>
  <c r="J108" i="1" s="1"/>
  <c r="J106" i="1" s="1"/>
  <c r="J105" i="1" s="1"/>
  <c r="I109" i="1"/>
  <c r="H109" i="1"/>
  <c r="G109" i="1" s="1"/>
  <c r="K108" i="1"/>
  <c r="K106" i="1" s="1"/>
  <c r="K105" i="1" s="1"/>
  <c r="I108" i="1"/>
  <c r="G107" i="1"/>
  <c r="I106" i="1"/>
  <c r="I105" i="1" s="1"/>
  <c r="G104" i="1"/>
  <c r="G103" i="1"/>
  <c r="G102" i="1"/>
  <c r="K101" i="1"/>
  <c r="J101" i="1"/>
  <c r="J99" i="1" s="1"/>
  <c r="I101" i="1"/>
  <c r="H101" i="1"/>
  <c r="G101" i="1" s="1"/>
  <c r="G100" i="1"/>
  <c r="K99" i="1"/>
  <c r="I99" i="1"/>
  <c r="H99" i="1"/>
  <c r="G97" i="1"/>
  <c r="G96" i="1"/>
  <c r="G95" i="1"/>
  <c r="J91" i="1"/>
  <c r="G90" i="1"/>
  <c r="K89" i="1"/>
  <c r="J89" i="1"/>
  <c r="I89" i="1"/>
  <c r="H89" i="1"/>
  <c r="H92" i="1" s="1"/>
  <c r="G88" i="1"/>
  <c r="G87" i="1"/>
  <c r="G85" i="1"/>
  <c r="I83" i="1"/>
  <c r="G83" i="1" s="1"/>
  <c r="K81" i="1"/>
  <c r="J81" i="1"/>
  <c r="I81" i="1"/>
  <c r="H81" i="1"/>
  <c r="G80" i="1"/>
  <c r="G79" i="1"/>
  <c r="K78" i="1"/>
  <c r="K75" i="1" s="1"/>
  <c r="J78" i="1"/>
  <c r="H78" i="1"/>
  <c r="H75" i="1" s="1"/>
  <c r="G77" i="1"/>
  <c r="G76" i="1"/>
  <c r="G74" i="1"/>
  <c r="G73" i="1"/>
  <c r="I69" i="1"/>
  <c r="H69" i="1"/>
  <c r="J67" i="1"/>
  <c r="G67" i="1" s="1"/>
  <c r="I66" i="1"/>
  <c r="I64" i="1" s="1"/>
  <c r="H66" i="1"/>
  <c r="K64" i="1"/>
  <c r="H64" i="1"/>
  <c r="K61" i="1"/>
  <c r="K55" i="1" s="1"/>
  <c r="J61" i="1"/>
  <c r="I61" i="1"/>
  <c r="H61" i="1"/>
  <c r="J59" i="1"/>
  <c r="G59" i="1" s="1"/>
  <c r="K57" i="1"/>
  <c r="I57" i="1"/>
  <c r="H57" i="1"/>
  <c r="G56" i="1"/>
  <c r="H52" i="1"/>
  <c r="I91" i="1"/>
  <c r="G50" i="1"/>
  <c r="G49" i="1"/>
  <c r="G48" i="1"/>
  <c r="G47" i="1"/>
  <c r="G45" i="1"/>
  <c r="G43" i="1"/>
  <c r="K41" i="1"/>
  <c r="J41" i="1"/>
  <c r="J35" i="1" s="1"/>
  <c r="I41" i="1"/>
  <c r="H41" i="1"/>
  <c r="G40" i="1"/>
  <c r="G39" i="1"/>
  <c r="I78" i="1"/>
  <c r="G37" i="1"/>
  <c r="G36" i="1"/>
  <c r="K35" i="1"/>
  <c r="K130" i="1" s="1"/>
  <c r="G34" i="1"/>
  <c r="G33" i="1"/>
  <c r="I29" i="1"/>
  <c r="H29" i="1"/>
  <c r="G27" i="1"/>
  <c r="J66" i="1"/>
  <c r="G26" i="1"/>
  <c r="K24" i="1"/>
  <c r="J24" i="1"/>
  <c r="I24" i="1"/>
  <c r="H24" i="1"/>
  <c r="K21" i="1"/>
  <c r="J21" i="1"/>
  <c r="I21" i="1"/>
  <c r="G21" i="1" s="1"/>
  <c r="H21" i="1"/>
  <c r="G19" i="1"/>
  <c r="K17" i="1"/>
  <c r="K15" i="1" s="1"/>
  <c r="J17" i="1"/>
  <c r="I17" i="1"/>
  <c r="H17" i="1"/>
  <c r="G17" i="1"/>
  <c r="G16" i="1"/>
  <c r="I15" i="1"/>
  <c r="D9" i="1"/>
  <c r="G91" i="2" l="1"/>
  <c r="I93" i="2"/>
  <c r="H46" i="2"/>
  <c r="H130" i="2"/>
  <c r="G35" i="2"/>
  <c r="G108" i="2"/>
  <c r="H106" i="2"/>
  <c r="G139" i="2"/>
  <c r="H138" i="2"/>
  <c r="G138" i="2" s="1"/>
  <c r="G75" i="2"/>
  <c r="H53" i="2"/>
  <c r="I53" i="2"/>
  <c r="I152" i="2"/>
  <c r="I150" i="2" s="1"/>
  <c r="I148" i="2" s="1"/>
  <c r="I128" i="2"/>
  <c r="I126" i="2" s="1"/>
  <c r="G151" i="2"/>
  <c r="G92" i="2"/>
  <c r="J57" i="1"/>
  <c r="G57" i="1" s="1"/>
  <c r="J92" i="1"/>
  <c r="G89" i="1"/>
  <c r="J75" i="1"/>
  <c r="G81" i="1"/>
  <c r="G41" i="1"/>
  <c r="G24" i="1"/>
  <c r="H15" i="1"/>
  <c r="J152" i="3"/>
  <c r="J150" i="3" s="1"/>
  <c r="J148" i="3" s="1"/>
  <c r="J128" i="3"/>
  <c r="J126" i="3" s="1"/>
  <c r="I92" i="3"/>
  <c r="J64" i="3"/>
  <c r="J55" i="3" s="1"/>
  <c r="G66" i="3"/>
  <c r="K152" i="3"/>
  <c r="K150" i="3" s="1"/>
  <c r="K148" i="3" s="1"/>
  <c r="K128" i="3"/>
  <c r="K126" i="3" s="1"/>
  <c r="G91" i="3"/>
  <c r="G64" i="3"/>
  <c r="G151" i="3"/>
  <c r="G52" i="3"/>
  <c r="I78" i="3"/>
  <c r="G89" i="3"/>
  <c r="H99" i="3"/>
  <c r="G99" i="3" s="1"/>
  <c r="J15" i="3"/>
  <c r="H35" i="3"/>
  <c r="I52" i="3"/>
  <c r="K91" i="3"/>
  <c r="K92" i="3" s="1"/>
  <c r="G92" i="3" s="1"/>
  <c r="H108" i="3"/>
  <c r="G129" i="3"/>
  <c r="H55" i="3"/>
  <c r="I35" i="3"/>
  <c r="I46" i="3" s="1"/>
  <c r="I86" i="3" s="1"/>
  <c r="G61" i="3"/>
  <c r="H15" i="3"/>
  <c r="G51" i="3"/>
  <c r="H138" i="3"/>
  <c r="G138" i="3" s="1"/>
  <c r="G78" i="1"/>
  <c r="I75" i="1"/>
  <c r="G75" i="1" s="1"/>
  <c r="K128" i="1"/>
  <c r="K126" i="1" s="1"/>
  <c r="K152" i="1"/>
  <c r="K150" i="1" s="1"/>
  <c r="K148" i="1" s="1"/>
  <c r="J152" i="1"/>
  <c r="J150" i="1" s="1"/>
  <c r="J148" i="1" s="1"/>
  <c r="J128" i="1"/>
  <c r="J126" i="1" s="1"/>
  <c r="G91" i="1"/>
  <c r="I92" i="1"/>
  <c r="G151" i="1"/>
  <c r="I55" i="1"/>
  <c r="G99" i="1"/>
  <c r="J64" i="1"/>
  <c r="J55" i="1" s="1"/>
  <c r="G66" i="1"/>
  <c r="J15" i="1"/>
  <c r="H35" i="1"/>
  <c r="I52" i="1"/>
  <c r="G52" i="1" s="1"/>
  <c r="K91" i="1"/>
  <c r="K92" i="1" s="1"/>
  <c r="H108" i="1"/>
  <c r="G129" i="1"/>
  <c r="H55" i="1"/>
  <c r="G61" i="1"/>
  <c r="I35" i="1"/>
  <c r="I46" i="1" s="1"/>
  <c r="I86" i="1" s="1"/>
  <c r="G38" i="1"/>
  <c r="G51" i="1"/>
  <c r="H138" i="1"/>
  <c r="G138" i="1" s="1"/>
  <c r="G130" i="2" l="1"/>
  <c r="H152" i="2"/>
  <c r="H128" i="2"/>
  <c r="H105" i="2"/>
  <c r="G105" i="2" s="1"/>
  <c r="G106" i="2"/>
  <c r="J30" i="2"/>
  <c r="G92" i="1"/>
  <c r="I53" i="3"/>
  <c r="G108" i="3"/>
  <c r="H106" i="3"/>
  <c r="G78" i="3"/>
  <c r="I75" i="3"/>
  <c r="J31" i="3"/>
  <c r="I130" i="3"/>
  <c r="H130" i="3"/>
  <c r="H46" i="3"/>
  <c r="G35" i="3"/>
  <c r="G15" i="3"/>
  <c r="H53" i="3"/>
  <c r="G55" i="3"/>
  <c r="H130" i="1"/>
  <c r="G35" i="1"/>
  <c r="H46" i="1"/>
  <c r="H53" i="1" s="1"/>
  <c r="J31" i="1"/>
  <c r="G108" i="1"/>
  <c r="H106" i="1"/>
  <c r="G55" i="1"/>
  <c r="I93" i="1"/>
  <c r="I53" i="1"/>
  <c r="G64" i="1"/>
  <c r="G15" i="1"/>
  <c r="H93" i="2" l="1"/>
  <c r="H126" i="2"/>
  <c r="G126" i="2" s="1"/>
  <c r="G128" i="2"/>
  <c r="H150" i="2"/>
  <c r="G152" i="2"/>
  <c r="G30" i="2"/>
  <c r="J29" i="2"/>
  <c r="H86" i="3"/>
  <c r="J30" i="3"/>
  <c r="I152" i="3"/>
  <c r="I150" i="3" s="1"/>
  <c r="I148" i="3" s="1"/>
  <c r="I128" i="3"/>
  <c r="I126" i="3" s="1"/>
  <c r="G106" i="3"/>
  <c r="H105" i="3"/>
  <c r="G105" i="3" s="1"/>
  <c r="G130" i="3"/>
  <c r="H152" i="3"/>
  <c r="H128" i="3"/>
  <c r="J71" i="3"/>
  <c r="G71" i="3" s="1"/>
  <c r="G31" i="3"/>
  <c r="G75" i="3"/>
  <c r="I93" i="3"/>
  <c r="G31" i="1"/>
  <c r="J71" i="1"/>
  <c r="G71" i="1" s="1"/>
  <c r="G106" i="1"/>
  <c r="H105" i="1"/>
  <c r="G105" i="1" s="1"/>
  <c r="H86" i="1"/>
  <c r="J30" i="1"/>
  <c r="I152" i="1"/>
  <c r="I150" i="1" s="1"/>
  <c r="I148" i="1" s="1"/>
  <c r="I128" i="1"/>
  <c r="I126" i="1" s="1"/>
  <c r="G130" i="1"/>
  <c r="H128" i="1"/>
  <c r="J46" i="2" l="1"/>
  <c r="J53" i="2" s="1"/>
  <c r="K32" i="2"/>
  <c r="G70" i="2"/>
  <c r="J69" i="2"/>
  <c r="G150" i="2"/>
  <c r="H148" i="2"/>
  <c r="G148" i="2" s="1"/>
  <c r="H126" i="3"/>
  <c r="G126" i="3" s="1"/>
  <c r="G128" i="3"/>
  <c r="J70" i="3"/>
  <c r="J29" i="3"/>
  <c r="G30" i="3"/>
  <c r="H150" i="3"/>
  <c r="G152" i="3"/>
  <c r="H93" i="3"/>
  <c r="H150" i="1"/>
  <c r="G152" i="1"/>
  <c r="J29" i="1"/>
  <c r="J70" i="1"/>
  <c r="G30" i="1"/>
  <c r="G128" i="1"/>
  <c r="H126" i="1"/>
  <c r="G126" i="1" s="1"/>
  <c r="H93" i="1"/>
  <c r="J93" i="2" l="1"/>
  <c r="K29" i="2"/>
  <c r="K46" i="2"/>
  <c r="G32" i="2"/>
  <c r="J46" i="3"/>
  <c r="K32" i="3"/>
  <c r="J53" i="3"/>
  <c r="G70" i="3"/>
  <c r="J69" i="3"/>
  <c r="G150" i="3"/>
  <c r="H148" i="3"/>
  <c r="G148" i="3" s="1"/>
  <c r="G70" i="1"/>
  <c r="J69" i="1"/>
  <c r="J46" i="1"/>
  <c r="K32" i="1"/>
  <c r="G150" i="1"/>
  <c r="H148" i="1"/>
  <c r="G148" i="1" s="1"/>
  <c r="K53" i="2" l="1"/>
  <c r="G53" i="2" s="1"/>
  <c r="G29" i="2"/>
  <c r="G86" i="2"/>
  <c r="G72" i="2"/>
  <c r="K69" i="2"/>
  <c r="G46" i="2"/>
  <c r="K72" i="3"/>
  <c r="K29" i="3"/>
  <c r="K46" i="3"/>
  <c r="K86" i="3" s="1"/>
  <c r="G32" i="3"/>
  <c r="J86" i="3"/>
  <c r="G86" i="3" s="1"/>
  <c r="G32" i="1"/>
  <c r="K29" i="1"/>
  <c r="K46" i="1"/>
  <c r="K86" i="1" s="1"/>
  <c r="K72" i="1"/>
  <c r="J86" i="1"/>
  <c r="J93" i="1"/>
  <c r="J53" i="1"/>
  <c r="K93" i="2" l="1"/>
  <c r="G93" i="2" s="1"/>
  <c r="G69" i="2"/>
  <c r="G46" i="1"/>
  <c r="K53" i="3"/>
  <c r="G53" i="3" s="1"/>
  <c r="G29" i="3"/>
  <c r="J93" i="3"/>
  <c r="G46" i="3"/>
  <c r="G72" i="3"/>
  <c r="K69" i="3"/>
  <c r="G72" i="1"/>
  <c r="K69" i="1"/>
  <c r="K53" i="1"/>
  <c r="G53" i="1" s="1"/>
  <c r="G29" i="1"/>
  <c r="G86" i="1"/>
  <c r="K93" i="3" l="1"/>
  <c r="G93" i="3" s="1"/>
  <c r="G69" i="3"/>
  <c r="K93" i="1"/>
  <c r="G93" i="1" s="1"/>
  <c r="G69" i="1"/>
</calcChain>
</file>

<file path=xl/sharedStrings.xml><?xml version="1.0" encoding="utf-8"?>
<sst xmlns="http://schemas.openxmlformats.org/spreadsheetml/2006/main" count="5619" uniqueCount="353">
  <si>
    <t>Сведения об отпуске (передаче) электроэнергии распределительными сетевыми организациями отдельным категориям потребителей</t>
  </si>
  <si>
    <t>Коды по ОКЕИ: 1000 киловатт-часов – 246, мегаватт – 215, тысяча рублей – 384</t>
  </si>
  <si>
    <t>№ п/п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</si>
  <si>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</si>
  <si>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</si>
  <si>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</si>
  <si>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</si>
  <si>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</si>
  <si>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</si>
  <si>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</si>
  <si>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</si>
  <si>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 (тыс. кВт ч)</t>
  </si>
  <si>
    <t>1</t>
  </si>
  <si>
    <t>Поступление в сеть из других организаций:</t>
  </si>
  <si>
    <t>1.1</t>
  </si>
  <si>
    <t>из сетей ПАО "ФСК ЕЭС"</t>
  </si>
  <si>
    <t>1.2</t>
  </si>
  <si>
    <t>от генерирующих компаний и блок-станций:</t>
  </si>
  <si>
    <t>1.2.0</t>
  </si>
  <si>
    <t>30</t>
  </si>
  <si>
    <t>Добавить организацию</t>
  </si>
  <si>
    <t>1.3</t>
  </si>
  <si>
    <t>от несетевых организаций:</t>
  </si>
  <si>
    <t>230</t>
  </si>
  <si>
    <t>1.3.0</t>
  </si>
  <si>
    <t>1.4</t>
  </si>
  <si>
    <t>от смежных сетевых организаций:</t>
  </si>
  <si>
    <t>430</t>
  </si>
  <si>
    <t>1.4.0</t>
  </si>
  <si>
    <t>О</t>
  </si>
  <si>
    <t>1.4.1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</si>
  <si>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</si>
  <si>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</si>
  <si>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</si>
  <si>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</si>
  <si>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</si>
  <si>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</si>
  <si>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</si>
  <si>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</si>
  <si>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</si>
  <si>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</si>
  <si>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</si>
  <si>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</si>
  <si>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</si>
  <si>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</si>
  <si>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</si>
  <si>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</si>
  <si>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</si>
  <si>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</si>
  <si>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</si>
  <si>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энергии, в том числе:</t>
  </si>
  <si>
    <t>700</t>
  </si>
  <si>
    <t>4.1.1</t>
  </si>
  <si>
    <t>потребителям, опосредованно подключенным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</si>
  <si>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</si>
  <si>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</si>
  <si>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</si>
  <si>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</si>
  <si>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</si>
  <si>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</si>
  <si>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</si>
  <si>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</si>
  <si>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740</t>
  </si>
  <si>
    <t>4.3</t>
  </si>
  <si>
    <t>смежным сетевым организациям:</t>
  </si>
  <si>
    <t>750</t>
  </si>
  <si>
    <t>4.3.0</t>
  </si>
  <si>
    <t>4.3.1</t>
  </si>
  <si>
    <t>АО "НЭСК-электросети"</t>
  </si>
  <si>
    <t>4.4</t>
  </si>
  <si>
    <t>населению и приравненным к нему категориям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</si>
  <si>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</si>
  <si>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</si>
  <si>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</si>
  <si>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</si>
  <si>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</si>
  <si>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</si>
  <si>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</si>
  <si>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</si>
  <si>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</si>
  <si>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</si>
  <si>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</si>
  <si>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объем потерь (фактические объемы),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</si>
  <si>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</si>
  <si>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</si>
  <si>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</si>
  <si>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</si>
  <si>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</si>
  <si>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(объемы потерь учтенные в сводном прогнозном балансе)</t>
  </si>
  <si>
    <t>1010</t>
  </si>
  <si>
    <t>10</t>
  </si>
  <si>
    <t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</si>
  <si>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>1020</t>
  </si>
  <si>
    <t>11</t>
  </si>
  <si>
    <t>Небаланс</t>
  </si>
  <si>
    <t>1030</t>
  </si>
  <si>
    <t>II. Мощность (МВт)</t>
  </si>
  <si>
    <t>12</t>
  </si>
  <si>
    <t>1040</t>
  </si>
  <si>
    <t>12.1</t>
  </si>
  <si>
    <t>1050</t>
  </si>
  <si>
    <t>12.2</t>
  </si>
  <si>
    <t>1060</t>
  </si>
  <si>
    <t>12.2.0</t>
  </si>
  <si>
    <t>12.3</t>
  </si>
  <si>
    <t>1260</t>
  </si>
  <si>
    <t>12.3.0</t>
  </si>
  <si>
    <t>12.4</t>
  </si>
  <si>
    <t>1460</t>
  </si>
  <si>
    <t>12.4.0</t>
  </si>
  <si>
    <t>12.4.1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</si>
  <si>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</si>
  <si>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</si>
  <si>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</si>
  <si>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</si>
  <si>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</si>
  <si>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</si>
  <si>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</si>
  <si>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</si>
  <si>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</si>
  <si>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</si>
  <si>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</si>
  <si>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</si>
  <si>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</si>
  <si>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</si>
  <si>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</si>
  <si>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</si>
  <si>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</si>
  <si>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</si>
  <si>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</si>
  <si>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</si>
  <si>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</si>
  <si>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</si>
  <si>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</si>
  <si>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</si>
  <si>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</si>
  <si>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</si>
  <si>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15.3.0</t>
  </si>
  <si>
    <t>15.3.1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</si>
  <si>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</si>
  <si>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</si>
  <si>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</si>
  <si>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</si>
  <si>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</si>
  <si>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</si>
  <si>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</si>
  <si>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</si>
  <si>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</si>
  <si>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</si>
  <si>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</si>
  <si>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</si>
  <si>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</si>
  <si>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</si>
  <si>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</si>
  <si>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</si>
  <si>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</si>
  <si>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</si>
  <si>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</si>
  <si>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 (МВт)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</si>
  <si>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</si>
  <si>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</si>
  <si>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</si>
  <si>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</si>
  <si>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</si>
  <si>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</si>
  <si>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</si>
  <si>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</si>
  <si>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</si>
  <si>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 (тыс. кВт ч; МВт)</t>
  </si>
  <si>
    <t>26</t>
  </si>
  <si>
    <t>Полезный отпуск конечным потребителям (тыс. кВт ч):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</si>
  <si>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</si>
  <si>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</si>
  <si>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</si>
  <si>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</si>
  <si>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</si>
  <si>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</si>
  <si>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</si>
  <si>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</si>
  <si>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 (МВт), в том числе:</t>
  </si>
  <si>
    <t>2130</t>
  </si>
  <si>
    <t>26.2.1.1</t>
  </si>
  <si>
    <t>опосредованно подключенным к шинам генераторов (МВт)</t>
  </si>
  <si>
    <t>2140</t>
  </si>
  <si>
    <t>26.2.2</t>
  </si>
  <si>
    <t>компенсация потерь (тыс. кВт ч)</t>
  </si>
  <si>
    <t>2150</t>
  </si>
  <si>
    <t>27</t>
  </si>
  <si>
    <t>Полезный отпуск потребителям ГП, ЭСО (тыс. кВт ч):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</si>
  <si>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</si>
  <si>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</si>
  <si>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</si>
  <si>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</si>
  <si>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</si>
  <si>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</si>
  <si>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</si>
  <si>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</si>
  <si>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</si>
  <si>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</si>
  <si>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</si>
  <si>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</si>
  <si>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</si>
  <si>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</si>
  <si>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</si>
  <si>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</si>
  <si>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</si>
  <si>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</si>
  <si>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</si>
  <si>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</si>
  <si>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</si>
  <si>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</si>
  <si>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</si>
  <si>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</si>
  <si>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</si>
  <si>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</si>
  <si>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</si>
  <si>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</si>
  <si>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</si>
  <si>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</si>
  <si>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</si>
  <si>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</si>
  <si>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</si>
  <si>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</si>
  <si>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</si>
  <si>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</si>
  <si>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</si>
  <si>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</si>
  <si>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</si>
  <si>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</si>
  <si>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</si>
  <si>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</si>
  <si>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</si>
  <si>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</si>
  <si>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</si>
  <si>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</si>
  <si>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</si>
  <si>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</si>
  <si>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</si>
  <si>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</si>
  <si>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</si>
  <si>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 xml:space="preserve"> опосредованно подключенным к шинам генераторов (МВт)</t>
  </si>
  <si>
    <t>2350</t>
  </si>
  <si>
    <t>27.2.2</t>
  </si>
  <si>
    <t>2360</t>
  </si>
  <si>
    <t>28</t>
  </si>
  <si>
    <t>Оплачиваемый сетевыми организациями объем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</si>
  <si>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</si>
  <si>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</si>
  <si>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</si>
  <si>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</si>
  <si>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</si>
  <si>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</si>
  <si>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 (МВт)</t>
  </si>
  <si>
    <t>2400</t>
  </si>
  <si>
    <t>28.2.2</t>
  </si>
  <si>
    <t>2410</t>
  </si>
  <si>
    <t>V. Стоимость услуг (тыс. руб.)</t>
  </si>
  <si>
    <t>29</t>
  </si>
  <si>
    <t>Стоимость услуг, оплачиваемая потребителями (конечными потребителями по прямым договорам и ТСО):</t>
  </si>
  <si>
    <t>2420</t>
  </si>
  <si>
    <t>29.1</t>
  </si>
  <si>
    <t>2430</t>
  </si>
  <si>
    <t>29.2</t>
  </si>
  <si>
    <t>2440</t>
  </si>
  <si>
    <t>29.2.1</t>
  </si>
  <si>
    <t>мощность, в том числе:</t>
  </si>
  <si>
    <t>2450</t>
  </si>
  <si>
    <t>29.2.1.1</t>
  </si>
  <si>
    <t>опосредованно потребителям с шин генераторов</t>
  </si>
  <si>
    <t>2460</t>
  </si>
  <si>
    <t>29.2.2</t>
  </si>
  <si>
    <t>компенсация потерь</t>
  </si>
  <si>
    <t>2470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</si>
  <si>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</si>
  <si>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</si>
  <si>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</si>
  <si>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</si>
  <si>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</si>
  <si>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</si>
  <si>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</si>
  <si>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</si>
  <si>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</si>
  <si>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</si>
  <si>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</si>
  <si>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</si>
  <si>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</si>
  <si>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</si>
  <si>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</si>
  <si>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</si>
  <si>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</si>
  <si>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</si>
  <si>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</si>
  <si>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</si>
  <si>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</si>
  <si>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</si>
  <si>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</si>
  <si>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</si>
  <si>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</si>
  <si>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</si>
  <si>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</si>
  <si>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</si>
  <si>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</si>
  <si>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мощность</t>
  </si>
  <si>
    <t>2610</t>
  </si>
  <si>
    <t>31.2.2</t>
  </si>
  <si>
    <t>2620</t>
  </si>
  <si>
    <t>Должностное лицо, ответственное за</t>
  </si>
  <si>
    <t>предоставление статистической информации</t>
  </si>
  <si>
    <t>(должность)</t>
  </si>
  <si>
    <t>(Ф.И.О.)</t>
  </si>
  <si>
    <t>(лицо, уполномоченное предоставлять</t>
  </si>
  <si>
    <t>статистическую информацию от имени</t>
  </si>
  <si>
    <t>«____» _________20__ год</t>
  </si>
  <si>
    <t>юридического лица)</t>
  </si>
  <si>
    <t>(номер контактного телефона)</t>
  </si>
  <si>
    <t>(дата составления документа)</t>
  </si>
  <si>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</si>
  <si>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</si>
  <si>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</si>
  <si>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</si>
  <si>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</si>
  <si>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</si>
  <si>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</si>
  <si>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</si>
  <si>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</si>
  <si>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L4.1</t>
  </si>
  <si>
    <t>L4.2</t>
  </si>
  <si>
    <t>2309001660</t>
  </si>
  <si>
    <t>230901001</t>
  </si>
  <si>
    <t>26319769</t>
  </si>
  <si>
    <t>2308139496</t>
  </si>
  <si>
    <t>230750001</t>
  </si>
  <si>
    <t>26319807</t>
  </si>
  <si>
    <t>920</t>
  </si>
  <si>
    <t>910</t>
  </si>
  <si>
    <t>(подпись)</t>
  </si>
  <si>
    <t>1.2.1</t>
  </si>
  <si>
    <t>АО "РАМО-М" (филиал "КВЭП" АО "РАМО-М")</t>
  </si>
  <si>
    <t>7719113976</t>
  </si>
  <si>
    <t>231143001</t>
  </si>
  <si>
    <t>26318579</t>
  </si>
  <si>
    <t>12.2.1</t>
  </si>
  <si>
    <t>1.4.2</t>
  </si>
  <si>
    <t>12.4.2</t>
  </si>
  <si>
    <t>ПАО "Россети Кубань"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</si>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</sst>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"/>
    <numFmt numFmtId="166" formatCode="#,##0.00000"/>
  </numFmts>
  <fonts count="1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63"/>
      <name val="Tahoma"/>
      <family val="2"/>
      <charset val="204"/>
    </font>
    <font>
      <sz val="9"/>
      <name val="Tahoma"/>
      <family val="2"/>
      <charset val="204"/>
    </font>
    <font>
      <sz val="9"/>
      <color indexed="23"/>
      <name val="Tahoma"/>
      <family val="2"/>
      <charset val="204"/>
    </font>
    <font>
      <sz val="9"/>
      <color theme="0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11"/>
      <color indexed="22"/>
      <name val="Wingdings 2"/>
      <family val="1"/>
      <charset val="2"/>
    </font>
    <font>
      <sz val="10"/>
      <name val="Tahoma"/>
      <family val="2"/>
      <charset val="204"/>
    </font>
    <font>
      <sz val="10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9"/>
      <color theme="0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55"/>
      </left>
      <right/>
      <top/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1">
    <xf numFmtId="0" fontId="0" fillId="0" borderId="0" xfId="0"/>
    <xf numFmtId="0" fontId="2" fillId="0" borderId="0" xfId="1" applyFont="1" applyAlignment="1" applyProtection="1">
      <alignment vertical="center"/>
    </xf>
    <xf numFmtId="0" fontId="4" fillId="0" borderId="0" xfId="1" applyFont="1" applyFill="1" applyBorder="1" applyAlignment="1" applyProtection="1">
      <alignment horizontal="center" vertical="center"/>
    </xf>
    <xf numFmtId="0" fontId="2" fillId="0" borderId="2" xfId="2" applyFont="1" applyFill="1" applyBorder="1" applyAlignment="1" applyProtection="1">
      <alignment horizontal="left" vertical="center"/>
    </xf>
    <xf numFmtId="0" fontId="2" fillId="0" borderId="1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49" fontId="2" fillId="0" borderId="0" xfId="3" applyFont="1" applyBorder="1" applyAlignment="1">
      <alignment horizontal="right" vertical="center"/>
    </xf>
    <xf numFmtId="0" fontId="2" fillId="0" borderId="7" xfId="4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49" fontId="2" fillId="0" borderId="0" xfId="3" applyFont="1" applyBorder="1" applyAlignment="1" applyProtection="1">
      <alignment vertical="center"/>
    </xf>
    <xf numFmtId="49" fontId="2" fillId="0" borderId="7" xfId="3" applyNumberFormat="1" applyFont="1" applyBorder="1" applyAlignment="1" applyProtection="1">
      <alignment vertical="center"/>
    </xf>
    <xf numFmtId="49" fontId="2" fillId="3" borderId="4" xfId="3" applyFont="1" applyFill="1" applyBorder="1" applyAlignment="1">
      <alignment vertical="center" wrapText="1"/>
    </xf>
    <xf numFmtId="49" fontId="2" fillId="0" borderId="4" xfId="3" applyFont="1" applyBorder="1" applyAlignment="1">
      <alignment horizontal="center" vertical="center" wrapText="1"/>
    </xf>
    <xf numFmtId="164" fontId="2" fillId="4" borderId="4" xfId="3" applyNumberFormat="1" applyFont="1" applyFill="1" applyBorder="1" applyAlignment="1" applyProtection="1">
      <alignment horizontal="right" vertical="center"/>
    </xf>
    <xf numFmtId="49" fontId="2" fillId="0" borderId="4" xfId="3" applyFont="1" applyBorder="1" applyAlignment="1">
      <alignment horizontal="left" vertical="center" wrapText="1" indent="1"/>
    </xf>
    <xf numFmtId="164" fontId="2" fillId="5" borderId="4" xfId="3" applyNumberFormat="1" applyFont="1" applyFill="1" applyBorder="1" applyAlignment="1" applyProtection="1">
      <alignment horizontal="right" vertical="center"/>
      <protection locked="0"/>
    </xf>
    <xf numFmtId="49" fontId="7" fillId="0" borderId="6" xfId="3" applyNumberFormat="1" applyFont="1" applyBorder="1" applyAlignment="1" applyProtection="1">
      <alignment vertical="center"/>
    </xf>
    <xf numFmtId="49" fontId="2" fillId="0" borderId="1" xfId="3" applyFont="1" applyFill="1" applyBorder="1" applyAlignment="1" applyProtection="1">
      <alignment horizontal="left" vertical="center" wrapText="1" indent="1"/>
    </xf>
    <xf numFmtId="49" fontId="7" fillId="0" borderId="1" xfId="3" applyFont="1" applyFill="1" applyBorder="1" applyAlignment="1" applyProtection="1">
      <alignment horizontal="center" vertical="center" wrapText="1"/>
    </xf>
    <xf numFmtId="165" fontId="2" fillId="0" borderId="1" xfId="3" applyNumberFormat="1" applyFont="1" applyFill="1" applyBorder="1" applyAlignment="1" applyProtection="1">
      <alignment horizontal="right" vertical="center"/>
    </xf>
    <xf numFmtId="49" fontId="8" fillId="6" borderId="6" xfId="0" applyNumberFormat="1" applyFont="1" applyFill="1" applyBorder="1" applyAlignment="1" applyProtection="1">
      <alignment horizontal="center" vertical="top"/>
    </xf>
    <xf numFmtId="0" fontId="8" fillId="6" borderId="8" xfId="0" applyFont="1" applyFill="1" applyBorder="1" applyAlignment="1" applyProtection="1">
      <alignment horizontal="left" vertical="center" indent="1"/>
    </xf>
    <xf numFmtId="0" fontId="8" fillId="6" borderId="8" xfId="0" applyFont="1" applyFill="1" applyBorder="1" applyAlignment="1" applyProtection="1">
      <alignment horizontal="center" vertical="top"/>
    </xf>
    <xf numFmtId="0" fontId="8" fillId="6" borderId="9" xfId="0" applyFont="1" applyFill="1" applyBorder="1" applyAlignment="1" applyProtection="1">
      <alignment horizontal="center" vertical="top"/>
    </xf>
    <xf numFmtId="0" fontId="9" fillId="7" borderId="0" xfId="5" applyFont="1" applyFill="1" applyBorder="1" applyAlignment="1" applyProtection="1">
      <alignment horizontal="center" vertical="center" wrapText="1"/>
    </xf>
    <xf numFmtId="0" fontId="2" fillId="7" borderId="6" xfId="5" applyFont="1" applyFill="1" applyBorder="1" applyAlignment="1" applyProtection="1">
      <alignment horizontal="left" vertical="center"/>
    </xf>
    <xf numFmtId="0" fontId="0" fillId="8" borderId="7" xfId="6" applyNumberFormat="1" applyFont="1" applyFill="1" applyBorder="1" applyAlignment="1" applyProtection="1">
      <alignment horizontal="left" vertical="center" wrapText="1" indent="2"/>
    </xf>
    <xf numFmtId="0" fontId="2" fillId="0" borderId="6" xfId="3" applyNumberFormat="1" applyFont="1" applyBorder="1" applyAlignment="1">
      <alignment horizontal="center" vertical="center" wrapText="1"/>
    </xf>
    <xf numFmtId="164" fontId="2" fillId="4" borderId="6" xfId="3" applyNumberFormat="1" applyFont="1" applyFill="1" applyBorder="1" applyAlignment="1" applyProtection="1">
      <alignment horizontal="right" vertical="center"/>
    </xf>
    <xf numFmtId="164" fontId="2" fillId="5" borderId="6" xfId="3" applyNumberFormat="1" applyFont="1" applyFill="1" applyBorder="1" applyAlignment="1" applyProtection="1">
      <alignment horizontal="right" vertical="center"/>
      <protection locked="0"/>
    </xf>
    <xf numFmtId="164" fontId="2" fillId="5" borderId="7" xfId="3" applyNumberFormat="1" applyFont="1" applyFill="1" applyBorder="1" applyAlignment="1" applyProtection="1">
      <alignment horizontal="right" vertical="center"/>
      <protection locked="0"/>
    </xf>
    <xf numFmtId="165" fontId="2" fillId="0" borderId="4" xfId="3" applyNumberFormat="1" applyFont="1" applyFill="1" applyBorder="1" applyAlignment="1" applyProtection="1">
      <alignment horizontal="right" vertical="center"/>
    </xf>
    <xf numFmtId="49" fontId="2" fillId="3" borderId="4" xfId="3" applyFont="1" applyFill="1" applyBorder="1" applyAlignment="1">
      <alignment horizontal="left" vertical="center" wrapText="1"/>
    </xf>
    <xf numFmtId="49" fontId="2" fillId="0" borderId="4" xfId="3" applyFont="1" applyFill="1" applyBorder="1" applyAlignment="1" applyProtection="1">
      <alignment horizontal="center" vertical="center" wrapText="1"/>
    </xf>
    <xf numFmtId="49" fontId="2" fillId="0" borderId="4" xfId="3" applyFont="1" applyBorder="1" applyAlignment="1">
      <alignment horizontal="left" vertical="center" wrapText="1" indent="2"/>
    </xf>
    <xf numFmtId="49" fontId="2" fillId="0" borderId="4" xfId="3" applyFont="1" applyBorder="1" applyAlignment="1">
      <alignment horizontal="left" vertical="center" wrapText="1" indent="3"/>
    </xf>
    <xf numFmtId="0" fontId="8" fillId="6" borderId="6" xfId="0" applyFont="1" applyFill="1" applyBorder="1" applyAlignment="1" applyProtection="1">
      <alignment horizontal="center" vertical="top"/>
    </xf>
    <xf numFmtId="49" fontId="2" fillId="0" borderId="4" xfId="3" applyFont="1" applyFill="1" applyBorder="1" applyAlignment="1" applyProtection="1">
      <alignment horizontal="left" vertical="center" wrapText="1" indent="1"/>
    </xf>
    <xf numFmtId="164" fontId="2" fillId="0" borderId="4" xfId="3" applyNumberFormat="1" applyFont="1" applyFill="1" applyBorder="1" applyAlignment="1" applyProtection="1">
      <alignment horizontal="right" vertical="center"/>
    </xf>
    <xf numFmtId="49" fontId="2" fillId="0" borderId="7" xfId="1" applyNumberFormat="1" applyFont="1" applyBorder="1" applyAlignment="1" applyProtection="1">
      <alignment vertical="center"/>
    </xf>
    <xf numFmtId="164" fontId="2" fillId="5" borderId="4" xfId="1" applyNumberFormat="1" applyFont="1" applyFill="1" applyBorder="1" applyAlignment="1" applyProtection="1">
      <alignment horizontal="right" vertical="center"/>
      <protection locked="0"/>
    </xf>
    <xf numFmtId="164" fontId="2" fillId="4" borderId="4" xfId="1" applyNumberFormat="1" applyFont="1" applyFill="1" applyBorder="1" applyAlignment="1" applyProtection="1">
      <alignment horizontal="right" vertical="center"/>
    </xf>
    <xf numFmtId="164" fontId="2" fillId="4" borderId="4" xfId="7" applyNumberFormat="1" applyFont="1" applyFill="1" applyBorder="1" applyAlignment="1" applyProtection="1">
      <alignment horizontal="right" vertical="center"/>
    </xf>
    <xf numFmtId="49" fontId="2" fillId="0" borderId="4" xfId="3" applyFont="1" applyBorder="1" applyAlignment="1">
      <alignment horizontal="left" vertical="center" wrapText="1" indent="4"/>
    </xf>
    <xf numFmtId="164" fontId="2" fillId="5" borderId="4" xfId="7" applyNumberFormat="1" applyFont="1" applyFill="1" applyBorder="1" applyAlignment="1" applyProtection="1">
      <alignment horizontal="right" vertical="center"/>
      <protection locked="0"/>
    </xf>
    <xf numFmtId="164" fontId="2" fillId="5" borderId="4" xfId="1" applyNumberFormat="1" applyFont="1" applyFill="1" applyBorder="1" applyAlignment="1" applyProtection="1">
      <alignment horizontal="right" vertical="center" wrapText="1"/>
      <protection locked="0"/>
    </xf>
    <xf numFmtId="164" fontId="2" fillId="4" borderId="4" xfId="1" applyNumberFormat="1" applyFont="1" applyFill="1" applyBorder="1" applyAlignment="1" applyProtection="1">
      <alignment horizontal="right" vertical="center" wrapText="1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Protection="1"/>
    <xf numFmtId="0" fontId="10" fillId="0" borderId="0" xfId="1" applyFont="1" applyBorder="1" applyAlignment="1" applyProtection="1">
      <alignment horizontal="center" vertical="center"/>
    </xf>
    <xf numFmtId="0" fontId="10" fillId="0" borderId="0" xfId="1" applyFont="1" applyAlignment="1" applyProtection="1">
      <alignment horizontal="left" vertical="center"/>
    </xf>
    <xf numFmtId="0" fontId="10" fillId="0" borderId="0" xfId="1" applyFont="1" applyBorder="1" applyProtection="1"/>
    <xf numFmtId="0" fontId="10" fillId="0" borderId="0" xfId="1" applyFont="1" applyAlignment="1" applyProtection="1">
      <alignment vertical="center"/>
    </xf>
    <xf numFmtId="0" fontId="2" fillId="0" borderId="0" xfId="1" applyFont="1" applyAlignment="1" applyProtection="1">
      <alignment horizontal="left" vertical="center" indent="1"/>
    </xf>
    <xf numFmtId="0" fontId="2" fillId="0" borderId="0" xfId="1" applyNumberFormat="1" applyFont="1" applyAlignment="1" applyProtection="1">
      <alignment vertical="center"/>
    </xf>
    <xf numFmtId="0" fontId="2" fillId="0" borderId="0" xfId="8" applyFont="1" applyAlignment="1" applyProtection="1">
      <alignment vertical="center"/>
    </xf>
    <xf numFmtId="49" fontId="2" fillId="0" borderId="0" xfId="1" applyNumberFormat="1" applyFont="1" applyAlignment="1" applyProtection="1">
      <alignment vertical="center"/>
    </xf>
    <xf numFmtId="0" fontId="4" fillId="0" borderId="0" xfId="1" applyFont="1" applyBorder="1" applyAlignment="1" applyProtection="1">
      <alignment horizontal="right" vertical="center"/>
    </xf>
    <xf numFmtId="0" fontId="2" fillId="0" borderId="12" xfId="1" applyFont="1" applyBorder="1" applyAlignment="1" applyProtection="1">
      <alignment vertical="center"/>
    </xf>
    <xf numFmtId="49" fontId="2" fillId="0" borderId="0" xfId="3" applyFont="1" applyAlignment="1" applyProtection="1">
      <alignment vertical="center"/>
    </xf>
    <xf numFmtId="49" fontId="2" fillId="0" borderId="12" xfId="3" applyFont="1" applyBorder="1" applyAlignment="1" applyProtection="1">
      <alignment vertical="center"/>
    </xf>
    <xf numFmtId="0" fontId="2" fillId="0" borderId="12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10" fillId="0" borderId="0" xfId="1" applyFont="1" applyAlignment="1" applyProtection="1">
      <alignment horizontal="center" vertical="center"/>
    </xf>
    <xf numFmtId="0" fontId="2" fillId="0" borderId="6" xfId="4" applyFont="1" applyBorder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/>
    </xf>
    <xf numFmtId="49" fontId="7" fillId="0" borderId="0" xfId="3" applyFont="1" applyBorder="1" applyAlignment="1">
      <alignment horizontal="center" vertical="center" wrapText="1"/>
    </xf>
    <xf numFmtId="49" fontId="7" fillId="0" borderId="0" xfId="3" applyFont="1" applyBorder="1" applyAlignment="1" applyProtection="1">
      <alignment vertical="center"/>
    </xf>
    <xf numFmtId="49" fontId="11" fillId="0" borderId="0" xfId="1" applyNumberFormat="1" applyFont="1" applyAlignment="1" applyProtection="1">
      <alignment vertical="center"/>
    </xf>
    <xf numFmtId="49" fontId="7" fillId="0" borderId="0" xfId="3" applyNumberFormat="1" applyFont="1" applyAlignment="1" applyProtection="1">
      <alignment vertical="center"/>
    </xf>
    <xf numFmtId="0" fontId="7" fillId="0" borderId="0" xfId="1" applyFont="1" applyBorder="1" applyAlignment="1" applyProtection="1">
      <alignment vertical="center"/>
    </xf>
    <xf numFmtId="0" fontId="10" fillId="0" borderId="10" xfId="1" applyFont="1" applyBorder="1" applyProtection="1"/>
    <xf numFmtId="17" fontId="2" fillId="0" borderId="2" xfId="2" applyNumberFormat="1" applyFont="1" applyFill="1" applyBorder="1" applyAlignment="1" applyProtection="1">
      <alignment horizontal="left" vertical="center"/>
    </xf>
    <xf numFmtId="166" fontId="2" fillId="5" borderId="4" xfId="1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1" applyFont="1" applyAlignment="1" applyProtection="1">
      <alignment horizontal="center" vertical="center"/>
    </xf>
    <xf numFmtId="0" fontId="2" fillId="0" borderId="6" xfId="4" applyFont="1" applyBorder="1" applyAlignment="1" applyProtection="1">
      <alignment horizontal="center" vertical="center" wrapText="1"/>
    </xf>
    <xf numFmtId="0" fontId="2" fillId="0" borderId="6" xfId="4" applyFont="1" applyBorder="1" applyAlignment="1" applyProtection="1">
      <alignment horizontal="center" vertical="center" wrapText="1"/>
    </xf>
    <xf numFmtId="0" fontId="10" fillId="0" borderId="0" xfId="1" applyFont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 wrapText="1"/>
    </xf>
    <xf numFmtId="164" fontId="12" fillId="0" borderId="0" xfId="1" applyNumberFormat="1" applyFont="1" applyFill="1" applyBorder="1" applyAlignment="1" applyProtection="1">
      <alignment horizontal="center" vertical="center" wrapText="1"/>
    </xf>
    <xf numFmtId="0" fontId="11" fillId="0" borderId="0" xfId="1" applyFont="1" applyProtection="1"/>
    <xf numFmtId="0" fontId="7" fillId="0" borderId="0" xfId="1" applyFont="1" applyAlignment="1" applyProtection="1">
      <alignment vertical="center"/>
    </xf>
    <xf numFmtId="164" fontId="7" fillId="0" borderId="0" xfId="1" applyNumberFormat="1" applyFont="1" applyAlignment="1" applyProtection="1">
      <alignment vertical="center"/>
    </xf>
    <xf numFmtId="164" fontId="13" fillId="0" borderId="0" xfId="1" applyNumberFormat="1" applyFont="1" applyAlignment="1" applyProtection="1">
      <alignment vertical="center"/>
    </xf>
    <xf numFmtId="0" fontId="7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vertical="center"/>
    </xf>
    <xf numFmtId="0" fontId="11" fillId="0" borderId="10" xfId="1" applyFont="1" applyBorder="1" applyProtection="1"/>
    <xf numFmtId="0" fontId="11" fillId="0" borderId="0" xfId="1" applyFont="1" applyBorder="1" applyProtection="1"/>
    <xf numFmtId="49" fontId="7" fillId="0" borderId="0" xfId="3" applyFont="1" applyAlignment="1" applyProtection="1">
      <alignment vertical="center"/>
    </xf>
    <xf numFmtId="164" fontId="11" fillId="0" borderId="0" xfId="1" applyNumberFormat="1" applyFont="1" applyProtection="1"/>
    <xf numFmtId="164" fontId="7" fillId="0" borderId="0" xfId="3" applyNumberFormat="1" applyFont="1" applyAlignment="1" applyProtection="1">
      <alignment vertical="center"/>
    </xf>
    <xf numFmtId="0" fontId="10" fillId="0" borderId="0" xfId="1" applyFont="1" applyAlignment="1" applyProtection="1">
      <alignment horizontal="center" vertical="center"/>
    </xf>
    <xf numFmtId="0" fontId="2" fillId="0" borderId="6" xfId="4" applyFont="1" applyBorder="1" applyAlignment="1" applyProtection="1">
      <alignment horizontal="center" vertical="center" wrapText="1"/>
    </xf>
    <xf numFmtId="0" fontId="2" fillId="0" borderId="6" xfId="4" applyFont="1" applyBorder="1" applyAlignment="1" applyProtection="1">
      <alignment horizontal="center" vertical="center" wrapText="1"/>
    </xf>
    <xf numFmtId="0" fontId="10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2" fillId="0" borderId="6" xfId="4" applyFont="1" applyBorder="1" applyAlignment="1" applyProtection="1">
      <alignment horizontal="center" vertical="center" wrapText="1"/>
    </xf>
    <xf numFmtId="164" fontId="2" fillId="0" borderId="0" xfId="3" applyNumberFormat="1" applyFont="1" applyAlignment="1" applyProtection="1">
      <alignment vertical="center"/>
    </xf>
    <xf numFmtId="49" fontId="2" fillId="2" borderId="6" xfId="3" applyFont="1" applyFill="1" applyBorder="1" applyAlignment="1">
      <alignment horizontal="center" vertical="center"/>
    </xf>
    <xf numFmtId="49" fontId="2" fillId="2" borderId="8" xfId="3" applyFont="1" applyFill="1" applyBorder="1" applyAlignment="1">
      <alignment horizontal="center" vertical="center"/>
    </xf>
    <xf numFmtId="49" fontId="2" fillId="2" borderId="9" xfId="3" applyFont="1" applyFill="1" applyBorder="1" applyAlignment="1">
      <alignment horizontal="center" vertical="center"/>
    </xf>
    <xf numFmtId="0" fontId="2" fillId="0" borderId="4" xfId="4" applyFont="1" applyBorder="1" applyAlignment="1" applyProtection="1">
      <alignment horizontal="center" vertical="center" wrapText="1"/>
    </xf>
    <xf numFmtId="0" fontId="2" fillId="0" borderId="3" xfId="4" applyFont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5" xfId="1" applyFont="1" applyBorder="1" applyAlignment="1" applyProtection="1">
      <alignment horizontal="center" vertical="center" wrapText="1"/>
    </xf>
    <xf numFmtId="0" fontId="2" fillId="0" borderId="6" xfId="4" applyFont="1" applyBorder="1" applyAlignment="1" applyProtection="1">
      <alignment horizontal="center" vertical="center" wrapText="1"/>
    </xf>
    <xf numFmtId="0" fontId="10" fillId="0" borderId="10" xfId="1" applyNumberFormat="1" applyFont="1" applyBorder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</cellXfs>
  <cellStyles count="9">
    <cellStyle name="Обычный" xfId="0" builtinId="0"/>
    <cellStyle name="Обычный 10" xfId="3"/>
    <cellStyle name="Обычный_MINENERGO.340.PRIL79(v0.1)" xfId="5"/>
    <cellStyle name="Обычный_ЖКУ_проект3" xfId="6"/>
    <cellStyle name="Обычный_Полезный отпуск электроэнергии и мощности, реализуемой по нерегулируемым ценам" xfId="8"/>
    <cellStyle name="Обычный_Полезный отпуск электроэнергии и мощности, реализуемой по регулируемым ценам" xfId="1"/>
    <cellStyle name="Обычный_Продажа" xfId="7"/>
    <cellStyle name="Обычный_Сведения об отпуске (передаче) электроэнергии потребителям распределительными сетевыми организациями" xfId="4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4;&#1054;&#1054;%20&#1050;&#1042;&#1069;&#1055;%20&#1045;&#1048;&#1040;&#1057;,%20&#1086;&#1090;&#1095;&#1077;&#1090;&#1099;\&#1054;&#1054;&#1054;%20&#1045;&#1048;&#1040;&#1057;%202014-2021\&#1076;&#1086;%2020%20&#1077;&#1078;&#1077;&#1084;&#1077;&#1089;.%2046%20&#1092;&#1086;&#1088;&#1084;&#1072;\2021\46EP.STX(v1.0)%20&#1084;&#1072;&#1088;&#1090;%202021.xlsb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4;&#1054;&#1054;%20&#1050;&#1042;&#1069;&#1055;%20&#1045;&#1048;&#1040;&#1057;,%20&#1086;&#1090;&#1095;&#1077;&#1090;&#1099;\&#1054;&#1054;&#1054;%20&#1045;&#1048;&#1040;&#1057;%202014-2022\&#1076;&#1086;%2020%20&#1077;&#1078;&#1077;&#1084;&#1077;&#1089;.%2046%20&#1092;&#1086;&#1088;&#1084;&#1072;\2021\46EP%20STX(v1%200)%20&#1076;&#1077;&#1082;&#1072;&#1073;&#1088;&#1100;%202021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4;&#1054;&#1054;%20&#1050;&#1042;&#1069;&#1055;%20&#1045;&#1048;&#1040;&#1057;,%20&#1086;&#1090;&#1095;&#1077;&#1090;&#1099;\&#1054;&#1054;&#1054;%20&#1045;&#1048;&#1040;&#1057;%202014-2022\&#1076;&#1086;%2020%20&#1077;&#1078;&#1077;&#1084;&#1077;&#1089;.%2046%20&#1092;&#1086;&#1088;&#1084;&#1072;\2021\46EP%20STX(v1%200)%202021%20&#1075;&#1086;&#1076;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4;&#1054;&#1054;%20&#1050;&#1042;&#1069;&#1055;%20&#1045;&#1048;&#1040;&#1057;,%20&#1086;&#1090;&#1095;&#1077;&#1090;&#1099;\&#1054;&#1054;&#1054;%20&#1045;&#1048;&#1040;&#1057;%202014-2021\&#1076;&#1086;%2020%20&#1077;&#1078;&#1077;&#1084;&#1077;&#1089;.%2046%20&#1092;&#1086;&#1088;&#1084;&#1072;\2021\46EP.STX(v1.0)%20&#1072;&#1087;&#1088;&#1077;&#1083;&#1100;%202021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4;&#1054;&#1054;%20&#1050;&#1042;&#1069;&#1055;%20&#1045;&#1048;&#1040;&#1057;,%20&#1086;&#1090;&#1095;&#1077;&#1090;&#1099;\&#1054;&#1054;&#1054;%20&#1045;&#1048;&#1040;&#1057;%202014-2021\&#1076;&#1086;%2020%20&#1077;&#1078;&#1077;&#1084;&#1077;&#1089;.%2046%20&#1092;&#1086;&#1088;&#1084;&#1072;\2021\46EP.STX(v1.0)%20&#1084;&#1072;&#1081;%202021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4;&#1054;&#1054;%20&#1050;&#1042;&#1069;&#1055;%20&#1045;&#1048;&#1040;&#1057;,%20&#1086;&#1090;&#1095;&#1077;&#1090;&#1099;\&#1054;&#1054;&#1054;%20&#1045;&#1048;&#1040;&#1057;%202014-2021\&#1076;&#1086;%2020%20&#1077;&#1078;&#1077;&#1084;&#1077;&#1089;.%2046%20&#1092;&#1086;&#1088;&#1084;&#1072;\2021\46EP.STX(v1.0)%20&#1080;&#1102;&#1085;&#1100;%202021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4;&#1054;&#1054;%20&#1050;&#1042;&#1069;&#1055;%20&#1045;&#1048;&#1040;&#1057;,%20&#1086;&#1090;&#1095;&#1077;&#1090;&#1099;\&#1054;&#1054;&#1054;%20&#1045;&#1048;&#1040;&#1057;%202014-2021\&#1076;&#1086;%2020%20&#1077;&#1078;&#1077;&#1084;&#1077;&#1089;.%2046%20&#1092;&#1086;&#1088;&#1084;&#1072;\2021\46EP.STX(v1.0)%20&#1080;&#1102;&#1083;&#1100;%202021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4;&#1054;&#1054;%20&#1050;&#1042;&#1069;&#1055;%20&#1045;&#1048;&#1040;&#1057;,%20&#1086;&#1090;&#1095;&#1077;&#1090;&#1099;\&#1054;&#1054;&#1054;%20&#1045;&#1048;&#1040;&#1057;%202014-2021\&#1076;&#1086;%2020%20&#1077;&#1078;&#1077;&#1084;&#1077;&#1089;.%2046%20&#1092;&#1086;&#1088;&#1084;&#1072;\2021\46EP.STX(v1.0)%20&#1072;&#1074;&#1075;&#1091;&#1089;&#1090;%202021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4;&#1054;&#1054;%20&#1050;&#1042;&#1069;&#1055;%20&#1045;&#1048;&#1040;&#1057;,%20&#1086;&#1090;&#1095;&#1077;&#1090;&#1099;\&#1054;&#1054;&#1054;%20&#1045;&#1048;&#1040;&#1057;%202014-2021\&#1076;&#1086;%2020%20&#1077;&#1078;&#1077;&#1084;&#1077;&#1089;.%2046%20&#1092;&#1086;&#1088;&#1084;&#1072;\2021\46EP%20STX(v1%200)%20&#1089;&#1077;&#1085;&#1090;&#1103;&#1073;&#1088;&#1100;%202021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4;&#1054;&#1054;%20&#1050;&#1042;&#1069;&#1055;%20&#1045;&#1048;&#1040;&#1057;,%20&#1086;&#1090;&#1095;&#1077;&#1090;&#1099;\&#1054;&#1054;&#1054;%20&#1045;&#1048;&#1040;&#1057;%202014-2021\&#1076;&#1086;%2020%20&#1077;&#1078;&#1077;&#1084;&#1077;&#1089;.%2046%20&#1092;&#1086;&#1088;&#1084;&#1072;\2021\46EP%20STX(v1%200)%20&#1086;&#1082;&#1090;&#1103;&#1073;&#1088;&#1100;%202021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4;&#1054;&#1054;%20&#1050;&#1042;&#1069;&#1055;%20&#1045;&#1048;&#1040;&#1057;,%20&#1086;&#1090;&#1095;&#1077;&#1090;&#1099;\&#1054;&#1054;&#1054;%20&#1045;&#1048;&#1040;&#1057;%202014-2021\&#1076;&#1086;%2020%20&#1077;&#1078;&#1077;&#1084;&#1077;&#1089;.%2046%20&#1092;&#1086;&#1088;&#1084;&#1072;\2021\46EP%20STX(v1%200)%20&#1085;&#1086;&#1103;&#1073;&#1088;&#1100;%20202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>
        <row r="3">
          <cell r="B3" t="str">
            <v>Версия 1.0</v>
          </cell>
        </row>
      </sheetData>
      <sheetData sheetId="1" refreshError="1"/>
      <sheetData sheetId="2">
        <row r="44">
          <cell r="G44" t="str">
            <v>Кривнева Е. В.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2">
          <cell r="D2" t="str">
            <v>январь</v>
          </cell>
          <cell r="E2">
            <v>2018</v>
          </cell>
          <cell r="F2" t="str">
            <v>Да</v>
          </cell>
          <cell r="G2" t="str">
            <v>В целом по организации</v>
          </cell>
        </row>
        <row r="3">
          <cell r="D3" t="str">
            <v>февраль</v>
          </cell>
          <cell r="E3">
            <v>2019</v>
          </cell>
          <cell r="F3" t="str">
            <v>Нет</v>
          </cell>
          <cell r="G3" t="str">
            <v>По обособленному подразделению</v>
          </cell>
        </row>
        <row r="4">
          <cell r="D4" t="str">
            <v>март</v>
          </cell>
          <cell r="E4">
            <v>2020</v>
          </cell>
        </row>
        <row r="5">
          <cell r="D5" t="str">
            <v>апрель</v>
          </cell>
          <cell r="E5">
            <v>2021</v>
          </cell>
        </row>
        <row r="6">
          <cell r="D6" t="str">
            <v>май</v>
          </cell>
          <cell r="E6">
            <v>2022</v>
          </cell>
        </row>
        <row r="7">
          <cell r="D7" t="str">
            <v>июнь</v>
          </cell>
        </row>
        <row r="8">
          <cell r="D8" t="str">
            <v>июль</v>
          </cell>
        </row>
        <row r="9">
          <cell r="D9" t="str">
            <v>август</v>
          </cell>
        </row>
        <row r="10">
          <cell r="D10" t="str">
            <v>сентябрь</v>
          </cell>
        </row>
        <row r="11">
          <cell r="D11" t="str">
            <v>октябрь</v>
          </cell>
        </row>
        <row r="12">
          <cell r="D12" t="str">
            <v>ноябрь</v>
          </cell>
        </row>
        <row r="13">
          <cell r="D13" t="str">
            <v>декабрь</v>
          </cell>
        </row>
        <row r="14">
          <cell r="D14" t="str">
            <v>год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">
          <cell r="E2" t="str">
            <v>Абинский муниципальный район</v>
          </cell>
        </row>
        <row r="3">
          <cell r="E3" t="str">
            <v>Апшеронский муниципальный район</v>
          </cell>
        </row>
        <row r="4">
          <cell r="E4" t="str">
            <v>Белоглинский муниципальный район</v>
          </cell>
        </row>
        <row r="5">
          <cell r="E5" t="str">
            <v>Белореченский муниципальный район</v>
          </cell>
        </row>
        <row r="6">
          <cell r="E6" t="str">
            <v>Брюховецкий муниципальный район</v>
          </cell>
        </row>
        <row r="7">
          <cell r="E7" t="str">
            <v>Выселковский муниципальный район</v>
          </cell>
        </row>
        <row r="8">
          <cell r="E8" t="str">
            <v>Город Армавир</v>
          </cell>
        </row>
        <row r="9">
          <cell r="E9" t="str">
            <v>Город Горячий Ключ</v>
          </cell>
        </row>
        <row r="10">
          <cell r="E10" t="str">
            <v>Город Краснодар</v>
          </cell>
        </row>
        <row r="11">
          <cell r="E11" t="str">
            <v>Город Новороссийск</v>
          </cell>
        </row>
        <row r="12">
          <cell r="E12" t="str">
            <v>Город-курорт Анапа</v>
          </cell>
        </row>
        <row r="13">
          <cell r="E13" t="str">
            <v>Город-курорт Геленджик</v>
          </cell>
        </row>
        <row r="14">
          <cell r="E14" t="str">
            <v>Город-курорт Сочи</v>
          </cell>
        </row>
        <row r="15">
          <cell r="E15" t="str">
            <v>Гулькевичский муниципальный район</v>
          </cell>
        </row>
        <row r="16">
          <cell r="E16" t="str">
            <v>Динской муниципальный район</v>
          </cell>
        </row>
        <row r="17">
          <cell r="E17" t="str">
            <v>Ейский муниципальный район</v>
          </cell>
        </row>
        <row r="18">
          <cell r="E18" t="str">
            <v>Кавказский муниципальный район</v>
          </cell>
        </row>
        <row r="19">
          <cell r="E19" t="str">
            <v>Калининский муниципальный район</v>
          </cell>
        </row>
        <row r="20">
          <cell r="E20" t="str">
            <v>Каневской муниципальный район</v>
          </cell>
        </row>
        <row r="21">
          <cell r="E21" t="str">
            <v>Кореновский муниципальный район</v>
          </cell>
        </row>
        <row r="22">
          <cell r="E22" t="str">
            <v>Красноармейский муниципальный район</v>
          </cell>
        </row>
        <row r="23">
          <cell r="E23" t="str">
            <v>Крыловский муниципальный район</v>
          </cell>
        </row>
        <row r="24">
          <cell r="E24" t="str">
            <v>Крымский муниципальный район</v>
          </cell>
        </row>
        <row r="25">
          <cell r="E25" t="str">
            <v>Курганинский муниципальный район</v>
          </cell>
        </row>
        <row r="26">
          <cell r="E26" t="str">
            <v>Кущевский муниципальный район</v>
          </cell>
        </row>
        <row r="27">
          <cell r="E27" t="str">
            <v>Лабинский муниципальный район</v>
          </cell>
        </row>
        <row r="28">
          <cell r="E28" t="str">
            <v>Ленинградский муниципальный район</v>
          </cell>
        </row>
        <row r="29">
          <cell r="E29" t="str">
            <v>Мостовский муниципальный район</v>
          </cell>
        </row>
        <row r="30">
          <cell r="E30" t="str">
            <v>Новокубанский муниципальный район</v>
          </cell>
        </row>
        <row r="31">
          <cell r="E31" t="str">
            <v>Новопокровский муниципальный район</v>
          </cell>
        </row>
        <row r="32">
          <cell r="E32" t="str">
            <v>Отрадненский муниципальный район</v>
          </cell>
        </row>
        <row r="33">
          <cell r="E33" t="str">
            <v>Павловский муниципальный район</v>
          </cell>
        </row>
        <row r="34">
          <cell r="E34" t="str">
            <v>Приморско-Ахтарский муниципальный район</v>
          </cell>
        </row>
        <row r="35">
          <cell r="E35" t="str">
            <v>Северский муниципальный район</v>
          </cell>
        </row>
        <row r="36">
          <cell r="E36" t="str">
            <v>Славянский муниципальный район</v>
          </cell>
        </row>
        <row r="37">
          <cell r="E37" t="str">
            <v>Староминский муниципальный район</v>
          </cell>
        </row>
        <row r="38">
          <cell r="E38" t="str">
            <v>Тбилисский муниципальный район</v>
          </cell>
        </row>
        <row r="39">
          <cell r="E39" t="str">
            <v>Темрюкский муниципальный район</v>
          </cell>
        </row>
        <row r="40">
          <cell r="E40" t="str">
            <v>Тимашевский муниципальный район</v>
          </cell>
        </row>
        <row r="41">
          <cell r="E41" t="str">
            <v>Тихорецкий муниципальный район</v>
          </cell>
        </row>
        <row r="42">
          <cell r="E42" t="str">
            <v>Туапсинский муниципальный район</v>
          </cell>
        </row>
        <row r="43">
          <cell r="E43" t="str">
            <v>Успенский муниципальный район</v>
          </cell>
        </row>
        <row r="44">
          <cell r="E44" t="str">
            <v>Усть-Лабинский муниципальный район</v>
          </cell>
        </row>
        <row r="45">
          <cell r="E45" t="str">
            <v>Щербиновский муниципальный район</v>
          </cell>
        </row>
        <row r="63">
          <cell r="B63" t="str">
            <v>Город Краснодар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Кривнева Е. В.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Кривнева Е. В.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Кривнева Е. В.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Кривнева Е. В.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Кривнева Е. В.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Кривнева Е. В.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Кривнева Е. В.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Кривнева Е. В.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Кривнева Е. В.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Кривнева Е. В.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87"/>
  <sheetViews>
    <sheetView topLeftCell="C7" workbookViewId="0">
      <selection activeCell="I130" sqref="I130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 x14ac:dyDescent="0.25">
      <c r="S1" s="54"/>
      <c r="T1" s="54"/>
      <c r="U1" s="54"/>
      <c r="V1" s="54"/>
      <c r="Y1" s="54"/>
      <c r="AA1" s="54"/>
      <c r="AN1" s="54"/>
      <c r="AO1" s="54"/>
      <c r="AP1" s="54"/>
      <c r="BC1" s="54"/>
      <c r="BF1" s="54"/>
      <c r="BI1" s="54"/>
      <c r="BM1" s="54"/>
      <c r="BO1" s="54"/>
      <c r="BX1" s="54"/>
      <c r="BY1" s="54"/>
      <c r="CC1" s="54"/>
    </row>
    <row r="2" spans="1:81" hidden="1" x14ac:dyDescent="0.25"/>
    <row r="3" spans="1:81" hidden="1" x14ac:dyDescent="0.25"/>
    <row r="4" spans="1:81" hidden="1" x14ac:dyDescent="0.25">
      <c r="A4" s="55"/>
      <c r="F4" s="56"/>
      <c r="G4" s="56"/>
      <c r="H4" s="56"/>
      <c r="I4" s="56"/>
      <c r="J4" s="56"/>
      <c r="K4" s="56"/>
      <c r="M4" s="56"/>
      <c r="N4" s="56"/>
      <c r="O4" s="56"/>
      <c r="P4" s="56"/>
      <c r="Q4" s="56"/>
    </row>
    <row r="5" spans="1:81" hidden="1" x14ac:dyDescent="0.25">
      <c r="A5" s="57"/>
      <c r="F5" s="1" t="s">
        <v>316</v>
      </c>
      <c r="G5" s="1" t="s">
        <v>317</v>
      </c>
      <c r="H5" s="1" t="s">
        <v>318</v>
      </c>
      <c r="I5" s="1" t="s">
        <v>319</v>
      </c>
      <c r="J5" s="1" t="s">
        <v>320</v>
      </c>
      <c r="K5" s="1" t="s">
        <v>321</v>
      </c>
      <c r="L5" s="1" t="s">
        <v>322</v>
      </c>
      <c r="M5" s="1" t="s">
        <v>323</v>
      </c>
      <c r="N5" s="1" t="s">
        <v>323</v>
      </c>
      <c r="O5" s="1" t="s">
        <v>324</v>
      </c>
      <c r="P5" s="1" t="s">
        <v>325</v>
      </c>
      <c r="Q5" s="1" t="s">
        <v>326</v>
      </c>
    </row>
    <row r="6" spans="1:81" hidden="1" x14ac:dyDescent="0.25">
      <c r="A6" s="57"/>
    </row>
    <row r="7" spans="1:81" ht="12" customHeight="1" x14ac:dyDescent="0.25">
      <c r="A7" s="57"/>
      <c r="D7" s="5"/>
      <c r="E7" s="5"/>
      <c r="F7" s="5"/>
      <c r="G7" s="5"/>
      <c r="H7" s="5"/>
      <c r="I7" s="5"/>
      <c r="J7" s="5"/>
      <c r="K7" s="58"/>
      <c r="Q7" s="66"/>
    </row>
    <row r="8" spans="1:81" ht="22.5" customHeight="1" x14ac:dyDescent="0.25">
      <c r="A8" s="57"/>
      <c r="D8" s="104" t="s">
        <v>0</v>
      </c>
      <c r="E8" s="10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81" x14ac:dyDescent="0.25">
      <c r="A9" s="57"/>
      <c r="D9" s="3" t="e">
        <f>IF(org="","Не определено",org)</f>
        <v>#REF!</v>
      </c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81" ht="12" customHeight="1" x14ac:dyDescent="0.25">
      <c r="D10" s="4"/>
      <c r="E10" s="4"/>
      <c r="F10" s="5"/>
      <c r="G10" s="5"/>
      <c r="H10" s="5"/>
      <c r="I10" s="5"/>
      <c r="K10" s="6" t="s">
        <v>1</v>
      </c>
    </row>
    <row r="11" spans="1:81" ht="15" customHeight="1" x14ac:dyDescent="0.25">
      <c r="C11" s="5"/>
      <c r="D11" s="105" t="s">
        <v>2</v>
      </c>
      <c r="E11" s="102" t="s">
        <v>3</v>
      </c>
      <c r="F11" s="102" t="s">
        <v>4</v>
      </c>
      <c r="G11" s="102" t="s">
        <v>5</v>
      </c>
      <c r="H11" s="102" t="s">
        <v>6</v>
      </c>
      <c r="I11" s="102"/>
      <c r="J11" s="102"/>
      <c r="K11" s="103"/>
      <c r="L11" s="59"/>
    </row>
    <row r="12" spans="1:81" ht="15" customHeight="1" x14ac:dyDescent="0.25">
      <c r="C12" s="5"/>
      <c r="D12" s="106"/>
      <c r="E12" s="107"/>
      <c r="F12" s="107"/>
      <c r="G12" s="107"/>
      <c r="H12" s="65" t="s">
        <v>7</v>
      </c>
      <c r="I12" s="65" t="s">
        <v>8</v>
      </c>
      <c r="J12" s="65" t="s">
        <v>9</v>
      </c>
      <c r="K12" s="7" t="s">
        <v>10</v>
      </c>
      <c r="L12" s="59"/>
    </row>
    <row r="13" spans="1:81" ht="12" customHeight="1" x14ac:dyDescent="0.25">
      <c r="D13" s="8">
        <v>0</v>
      </c>
      <c r="E13" s="8">
        <v>1</v>
      </c>
      <c r="F13" s="8">
        <v>2</v>
      </c>
      <c r="G13" s="8">
        <v>3</v>
      </c>
      <c r="H13" s="8">
        <v>4</v>
      </c>
      <c r="I13" s="8">
        <v>5</v>
      </c>
      <c r="J13" s="8">
        <v>6</v>
      </c>
      <c r="K13" s="8">
        <v>7</v>
      </c>
    </row>
    <row r="14" spans="1:81" s="60" customFormat="1" ht="15" customHeight="1" x14ac:dyDescent="0.25">
      <c r="C14" s="9"/>
      <c r="D14" s="99" t="s">
        <v>11</v>
      </c>
      <c r="E14" s="100"/>
      <c r="F14" s="100"/>
      <c r="G14" s="100"/>
      <c r="H14" s="100"/>
      <c r="I14" s="100"/>
      <c r="J14" s="100"/>
      <c r="K14" s="101"/>
      <c r="L14" s="61"/>
    </row>
    <row r="15" spans="1:81" s="60" customFormat="1" ht="15" customHeight="1" x14ac:dyDescent="0.2">
      <c r="C15" s="9"/>
      <c r="D15" s="10" t="s">
        <v>12</v>
      </c>
      <c r="E15" s="11" t="s">
        <v>13</v>
      </c>
      <c r="F15" s="12">
        <v>10</v>
      </c>
      <c r="G15" s="13">
        <f>SUM(H15:K15)</f>
        <v>7655.0659999999998</v>
      </c>
      <c r="H15" s="13">
        <f>H16+H17+H21+H24</f>
        <v>875.21299999999997</v>
      </c>
      <c r="I15" s="13">
        <f>I16+I17+I21+I24</f>
        <v>6091.0209999999997</v>
      </c>
      <c r="J15" s="13">
        <f>J16+J17+J21+J24</f>
        <v>688.83199999999999</v>
      </c>
      <c r="K15" s="13">
        <f>K16+K17+K21+K24</f>
        <v>0</v>
      </c>
      <c r="L15" s="61"/>
      <c r="M15" s="49"/>
      <c r="P15" s="67">
        <v>10</v>
      </c>
    </row>
    <row r="16" spans="1:81" s="60" customFormat="1" ht="15" customHeight="1" x14ac:dyDescent="0.2">
      <c r="C16" s="9"/>
      <c r="D16" s="10" t="s">
        <v>14</v>
      </c>
      <c r="E16" s="14" t="s">
        <v>15</v>
      </c>
      <c r="F16" s="12">
        <v>20</v>
      </c>
      <c r="G16" s="13">
        <f t="shared" ref="G16:G138" si="0">SUM(H16:K16)</f>
        <v>0</v>
      </c>
      <c r="H16" s="15"/>
      <c r="I16" s="15"/>
      <c r="J16" s="15"/>
      <c r="K16" s="15"/>
      <c r="L16" s="61"/>
      <c r="M16" s="49"/>
      <c r="P16" s="67">
        <v>20</v>
      </c>
    </row>
    <row r="17" spans="3:16" s="60" customFormat="1" ht="12.75" x14ac:dyDescent="0.2">
      <c r="C17" s="9"/>
      <c r="D17" s="10" t="s">
        <v>16</v>
      </c>
      <c r="E17" s="14" t="s">
        <v>17</v>
      </c>
      <c r="F17" s="12">
        <v>30</v>
      </c>
      <c r="G17" s="13">
        <f t="shared" si="0"/>
        <v>0</v>
      </c>
      <c r="H17" s="13">
        <f>SUM(H18:H20)</f>
        <v>0</v>
      </c>
      <c r="I17" s="13">
        <f>SUM(I18:I20)</f>
        <v>0</v>
      </c>
      <c r="J17" s="13">
        <f>SUM(J18:J20)</f>
        <v>0</v>
      </c>
      <c r="K17" s="13">
        <f>SUM(K18:K20)</f>
        <v>0</v>
      </c>
      <c r="L17" s="61"/>
      <c r="M17" s="49"/>
      <c r="P17" s="67">
        <v>30</v>
      </c>
    </row>
    <row r="18" spans="3:16" s="60" customFormat="1" ht="12.75" x14ac:dyDescent="0.2">
      <c r="C18" s="9"/>
      <c r="D18" s="16" t="s">
        <v>18</v>
      </c>
      <c r="E18" s="17"/>
      <c r="F18" s="18" t="s">
        <v>19</v>
      </c>
      <c r="G18" s="19"/>
      <c r="H18" s="19"/>
      <c r="I18" s="19"/>
      <c r="J18" s="19"/>
      <c r="K18" s="19"/>
      <c r="L18" s="61"/>
      <c r="M18" s="49"/>
      <c r="P18" s="67"/>
    </row>
    <row r="19" spans="3:16" s="60" customFormat="1" ht="15" x14ac:dyDescent="0.25">
      <c r="C19" s="24" t="s">
        <v>29</v>
      </c>
      <c r="D19" s="25" t="s">
        <v>336</v>
      </c>
      <c r="E19" s="26" t="s">
        <v>337</v>
      </c>
      <c r="F19" s="27">
        <v>31</v>
      </c>
      <c r="G19" s="28">
        <f>SUM(H19:K19)</f>
        <v>0</v>
      </c>
      <c r="H19" s="29"/>
      <c r="I19" s="29"/>
      <c r="J19" s="29"/>
      <c r="K19" s="30"/>
      <c r="L19" s="61"/>
      <c r="M19" s="69" t="s">
        <v>338</v>
      </c>
      <c r="N19" s="70" t="s">
        <v>339</v>
      </c>
      <c r="O19" s="70" t="s">
        <v>340</v>
      </c>
    </row>
    <row r="20" spans="3:16" s="60" customFormat="1" ht="12.75" x14ac:dyDescent="0.2">
      <c r="C20" s="9"/>
      <c r="D20" s="20"/>
      <c r="E20" s="21" t="s">
        <v>20</v>
      </c>
      <c r="F20" s="22"/>
      <c r="G20" s="22"/>
      <c r="H20" s="22"/>
      <c r="I20" s="22"/>
      <c r="J20" s="22"/>
      <c r="K20" s="23"/>
      <c r="L20" s="61"/>
      <c r="M20" s="49"/>
      <c r="P20" s="68"/>
    </row>
    <row r="21" spans="3:16" s="60" customFormat="1" ht="12.75" x14ac:dyDescent="0.2">
      <c r="C21" s="9"/>
      <c r="D21" s="10" t="s">
        <v>21</v>
      </c>
      <c r="E21" s="14" t="s">
        <v>22</v>
      </c>
      <c r="F21" s="12" t="s">
        <v>23</v>
      </c>
      <c r="G21" s="13">
        <f t="shared" si="0"/>
        <v>0</v>
      </c>
      <c r="H21" s="13">
        <f>SUM(H22:H23)</f>
        <v>0</v>
      </c>
      <c r="I21" s="13">
        <f>SUM(I22:I23)</f>
        <v>0</v>
      </c>
      <c r="J21" s="13">
        <f>SUM(J22:J23)</f>
        <v>0</v>
      </c>
      <c r="K21" s="13">
        <f>SUM(K22:K23)</f>
        <v>0</v>
      </c>
      <c r="L21" s="61"/>
      <c r="M21" s="49"/>
      <c r="P21" s="68"/>
    </row>
    <row r="22" spans="3:16" s="60" customFormat="1" ht="12.75" x14ac:dyDescent="0.2">
      <c r="C22" s="9"/>
      <c r="D22" s="16" t="s">
        <v>24</v>
      </c>
      <c r="E22" s="17"/>
      <c r="F22" s="18" t="s">
        <v>23</v>
      </c>
      <c r="G22" s="19"/>
      <c r="H22" s="19"/>
      <c r="I22" s="19"/>
      <c r="J22" s="19"/>
      <c r="K22" s="19"/>
      <c r="L22" s="61"/>
      <c r="M22" s="49"/>
      <c r="P22" s="67"/>
    </row>
    <row r="23" spans="3:16" s="60" customFormat="1" ht="12.75" x14ac:dyDescent="0.2">
      <c r="C23" s="9"/>
      <c r="D23" s="20"/>
      <c r="E23" s="21" t="s">
        <v>20</v>
      </c>
      <c r="F23" s="22"/>
      <c r="G23" s="22"/>
      <c r="H23" s="22"/>
      <c r="I23" s="22"/>
      <c r="J23" s="22"/>
      <c r="K23" s="23"/>
      <c r="L23" s="61"/>
      <c r="M23" s="49"/>
      <c r="P23" s="68"/>
    </row>
    <row r="24" spans="3:16" s="60" customFormat="1" ht="12.75" x14ac:dyDescent="0.2">
      <c r="C24" s="9"/>
      <c r="D24" s="10" t="s">
        <v>25</v>
      </c>
      <c r="E24" s="14" t="s">
        <v>26</v>
      </c>
      <c r="F24" s="12" t="s">
        <v>27</v>
      </c>
      <c r="G24" s="13">
        <f t="shared" si="0"/>
        <v>7655.0659999999998</v>
      </c>
      <c r="H24" s="13">
        <f>SUM(H25:H28)</f>
        <v>875.21299999999997</v>
      </c>
      <c r="I24" s="13">
        <f>SUM(I25:I28)</f>
        <v>6091.0209999999997</v>
      </c>
      <c r="J24" s="13">
        <f>SUM(J25:J28)</f>
        <v>688.83199999999999</v>
      </c>
      <c r="K24" s="13">
        <f>SUM(K25:K28)</f>
        <v>0</v>
      </c>
      <c r="L24" s="61"/>
      <c r="M24" s="49"/>
      <c r="P24" s="67">
        <v>40</v>
      </c>
    </row>
    <row r="25" spans="3:16" s="60" customFormat="1" ht="12.75" x14ac:dyDescent="0.2">
      <c r="C25" s="9"/>
      <c r="D25" s="16" t="s">
        <v>28</v>
      </c>
      <c r="E25" s="17"/>
      <c r="F25" s="18" t="s">
        <v>27</v>
      </c>
      <c r="G25" s="19"/>
      <c r="H25" s="19"/>
      <c r="I25" s="19"/>
      <c r="J25" s="19"/>
      <c r="K25" s="19"/>
      <c r="L25" s="61"/>
      <c r="M25" s="49"/>
      <c r="P25" s="67"/>
    </row>
    <row r="26" spans="3:16" s="60" customFormat="1" ht="15" x14ac:dyDescent="0.25">
      <c r="C26" s="24" t="s">
        <v>29</v>
      </c>
      <c r="D26" s="25" t="s">
        <v>30</v>
      </c>
      <c r="E26" s="26" t="s">
        <v>344</v>
      </c>
      <c r="F26" s="27">
        <v>431</v>
      </c>
      <c r="G26" s="28">
        <f>SUM(H26:K26)</f>
        <v>7359.3759999999993</v>
      </c>
      <c r="H26" s="29">
        <v>875.21299999999997</v>
      </c>
      <c r="I26" s="29">
        <v>6091.0209999999997</v>
      </c>
      <c r="J26" s="29">
        <v>393.142</v>
      </c>
      <c r="K26" s="30"/>
      <c r="L26" s="61"/>
      <c r="M26" s="69" t="s">
        <v>327</v>
      </c>
      <c r="N26" s="70" t="s">
        <v>328</v>
      </c>
      <c r="O26" s="70" t="s">
        <v>329</v>
      </c>
    </row>
    <row r="27" spans="3:16" s="60" customFormat="1" ht="15" x14ac:dyDescent="0.25">
      <c r="C27" s="24" t="s">
        <v>29</v>
      </c>
      <c r="D27" s="25" t="s">
        <v>342</v>
      </c>
      <c r="E27" s="26" t="s">
        <v>68</v>
      </c>
      <c r="F27" s="27">
        <v>432</v>
      </c>
      <c r="G27" s="28">
        <f>SUM(H27:K27)</f>
        <v>295.69</v>
      </c>
      <c r="H27" s="29"/>
      <c r="I27" s="29"/>
      <c r="J27" s="29">
        <v>295.69</v>
      </c>
      <c r="K27" s="30"/>
      <c r="L27" s="61"/>
      <c r="M27" s="69" t="s">
        <v>330</v>
      </c>
      <c r="N27" s="70" t="s">
        <v>328</v>
      </c>
      <c r="O27" s="70" t="s">
        <v>332</v>
      </c>
    </row>
    <row r="28" spans="3:16" s="60" customFormat="1" ht="12.75" x14ac:dyDescent="0.2">
      <c r="C28" s="9"/>
      <c r="D28" s="20"/>
      <c r="E28" s="21" t="s">
        <v>20</v>
      </c>
      <c r="F28" s="22"/>
      <c r="G28" s="22"/>
      <c r="H28" s="22"/>
      <c r="I28" s="22"/>
      <c r="J28" s="22"/>
      <c r="K28" s="23"/>
      <c r="L28" s="61"/>
      <c r="M28" s="49"/>
      <c r="P28" s="67"/>
    </row>
    <row r="29" spans="3:16" s="60" customFormat="1" ht="12.75" x14ac:dyDescent="0.2">
      <c r="C29" s="9"/>
      <c r="D29" s="10" t="s">
        <v>31</v>
      </c>
      <c r="E29" s="11" t="s">
        <v>32</v>
      </c>
      <c r="F29" s="12" t="s">
        <v>33</v>
      </c>
      <c r="G29" s="13">
        <f t="shared" si="0"/>
        <v>2978.3450000000003</v>
      </c>
      <c r="H29" s="13">
        <f>H31+H32+H33</f>
        <v>0</v>
      </c>
      <c r="I29" s="13">
        <f>I30+I32+I33</f>
        <v>0</v>
      </c>
      <c r="J29" s="13">
        <f>J30+J31+J33</f>
        <v>1954.6130000000001</v>
      </c>
      <c r="K29" s="13">
        <f>K30+K31+K32</f>
        <v>1023.732</v>
      </c>
      <c r="L29" s="61"/>
      <c r="M29" s="49"/>
      <c r="P29" s="67">
        <v>50</v>
      </c>
    </row>
    <row r="30" spans="3:16" s="60" customFormat="1" ht="12.75" x14ac:dyDescent="0.2">
      <c r="C30" s="9"/>
      <c r="D30" s="10" t="s">
        <v>34</v>
      </c>
      <c r="E30" s="14" t="s">
        <v>7</v>
      </c>
      <c r="F30" s="12" t="s">
        <v>35</v>
      </c>
      <c r="G30" s="13">
        <f t="shared" si="0"/>
        <v>875.21100000000001</v>
      </c>
      <c r="H30" s="31"/>
      <c r="I30" s="15"/>
      <c r="J30" s="15">
        <f>H46</f>
        <v>875.21100000000001</v>
      </c>
      <c r="K30" s="15"/>
      <c r="L30" s="61"/>
      <c r="M30" s="49"/>
      <c r="P30" s="67">
        <v>60</v>
      </c>
    </row>
    <row r="31" spans="3:16" s="60" customFormat="1" ht="12.75" x14ac:dyDescent="0.2">
      <c r="C31" s="9"/>
      <c r="D31" s="10" t="s">
        <v>36</v>
      </c>
      <c r="E31" s="14" t="s">
        <v>8</v>
      </c>
      <c r="F31" s="12" t="s">
        <v>37</v>
      </c>
      <c r="G31" s="13">
        <f t="shared" si="0"/>
        <v>1079.402</v>
      </c>
      <c r="H31" s="15"/>
      <c r="I31" s="31"/>
      <c r="J31" s="15">
        <f>I26-I35-I49</f>
        <v>1079.402</v>
      </c>
      <c r="K31" s="15"/>
      <c r="L31" s="61"/>
      <c r="M31" s="49"/>
      <c r="P31" s="67">
        <v>70</v>
      </c>
    </row>
    <row r="32" spans="3:16" s="60" customFormat="1" ht="12.75" x14ac:dyDescent="0.2">
      <c r="C32" s="9"/>
      <c r="D32" s="10" t="s">
        <v>38</v>
      </c>
      <c r="E32" s="14" t="s">
        <v>9</v>
      </c>
      <c r="F32" s="12" t="s">
        <v>39</v>
      </c>
      <c r="G32" s="13">
        <f t="shared" si="0"/>
        <v>1023.732</v>
      </c>
      <c r="H32" s="15"/>
      <c r="I32" s="15"/>
      <c r="J32" s="31"/>
      <c r="K32" s="15">
        <f>J24+J29+J17-J49-J35</f>
        <v>1023.732</v>
      </c>
      <c r="L32" s="61"/>
      <c r="M32" s="49"/>
      <c r="P32" s="67">
        <v>80</v>
      </c>
    </row>
    <row r="33" spans="3:16" s="60" customFormat="1" ht="12.75" x14ac:dyDescent="0.2">
      <c r="C33" s="9"/>
      <c r="D33" s="10" t="s">
        <v>40</v>
      </c>
      <c r="E33" s="14" t="s">
        <v>41</v>
      </c>
      <c r="F33" s="12" t="s">
        <v>42</v>
      </c>
      <c r="G33" s="13">
        <f t="shared" si="0"/>
        <v>0</v>
      </c>
      <c r="H33" s="15"/>
      <c r="I33" s="15"/>
      <c r="J33" s="15"/>
      <c r="K33" s="31"/>
      <c r="L33" s="61"/>
      <c r="M33" s="49"/>
      <c r="P33" s="67">
        <v>90</v>
      </c>
    </row>
    <row r="34" spans="3:16" s="60" customFormat="1" ht="12.75" x14ac:dyDescent="0.2">
      <c r="C34" s="9"/>
      <c r="D34" s="10" t="s">
        <v>43</v>
      </c>
      <c r="E34" s="32" t="s">
        <v>44</v>
      </c>
      <c r="F34" s="12" t="s">
        <v>45</v>
      </c>
      <c r="G34" s="13">
        <f t="shared" si="0"/>
        <v>0</v>
      </c>
      <c r="H34" s="15"/>
      <c r="I34" s="15"/>
      <c r="J34" s="15"/>
      <c r="K34" s="15"/>
      <c r="L34" s="61"/>
      <c r="M34" s="49"/>
      <c r="P34" s="67"/>
    </row>
    <row r="35" spans="3:16" s="60" customFormat="1" ht="12.75" x14ac:dyDescent="0.2">
      <c r="C35" s="9"/>
      <c r="D35" s="10" t="s">
        <v>46</v>
      </c>
      <c r="E35" s="11" t="s">
        <v>47</v>
      </c>
      <c r="F35" s="33" t="s">
        <v>48</v>
      </c>
      <c r="G35" s="13">
        <f t="shared" si="0"/>
        <v>7393.7249999999995</v>
      </c>
      <c r="H35" s="13">
        <f>H36+H38+H41+H45</f>
        <v>0</v>
      </c>
      <c r="I35" s="13">
        <f>I36+I38+I41+I45</f>
        <v>4958.6729999999998</v>
      </c>
      <c r="J35" s="13">
        <f>J36+J38+J41+J45</f>
        <v>1516.5940000000001</v>
      </c>
      <c r="K35" s="13">
        <f>K36+K38+K41+K45</f>
        <v>918.45799999999997</v>
      </c>
      <c r="L35" s="61"/>
      <c r="M35" s="49"/>
      <c r="P35" s="67">
        <v>100</v>
      </c>
    </row>
    <row r="36" spans="3:16" s="60" customFormat="1" ht="22.5" x14ac:dyDescent="0.2">
      <c r="C36" s="9"/>
      <c r="D36" s="10" t="s">
        <v>49</v>
      </c>
      <c r="E36" s="14" t="s">
        <v>50</v>
      </c>
      <c r="F36" s="12" t="s">
        <v>51</v>
      </c>
      <c r="G36" s="13">
        <f t="shared" si="0"/>
        <v>0</v>
      </c>
      <c r="H36" s="15"/>
      <c r="I36" s="15"/>
      <c r="J36" s="15"/>
      <c r="K36" s="15"/>
      <c r="L36" s="61"/>
      <c r="M36" s="49"/>
      <c r="P36" s="67"/>
    </row>
    <row r="37" spans="3:16" s="60" customFormat="1" ht="12.75" x14ac:dyDescent="0.2">
      <c r="C37" s="9"/>
      <c r="D37" s="10" t="s">
        <v>52</v>
      </c>
      <c r="E37" s="34" t="s">
        <v>53</v>
      </c>
      <c r="F37" s="12" t="s">
        <v>54</v>
      </c>
      <c r="G37" s="13">
        <f t="shared" si="0"/>
        <v>0</v>
      </c>
      <c r="H37" s="15"/>
      <c r="I37" s="15"/>
      <c r="J37" s="15"/>
      <c r="K37" s="15"/>
      <c r="L37" s="61"/>
      <c r="M37" s="49"/>
      <c r="P37" s="67"/>
    </row>
    <row r="38" spans="3:16" s="60" customFormat="1" ht="12.75" x14ac:dyDescent="0.2">
      <c r="C38" s="9"/>
      <c r="D38" s="10" t="s">
        <v>55</v>
      </c>
      <c r="E38" s="14" t="s">
        <v>56</v>
      </c>
      <c r="F38" s="12" t="s">
        <v>57</v>
      </c>
      <c r="G38" s="13">
        <f t="shared" si="0"/>
        <v>3167.9119999999998</v>
      </c>
      <c r="H38" s="15"/>
      <c r="I38" s="15">
        <f>4958.673-I43</f>
        <v>732.85999999999967</v>
      </c>
      <c r="J38" s="15">
        <v>1516.5940000000001</v>
      </c>
      <c r="K38" s="15">
        <v>918.45799999999997</v>
      </c>
      <c r="L38" s="61"/>
      <c r="M38" s="49"/>
      <c r="P38" s="67"/>
    </row>
    <row r="39" spans="3:16" s="60" customFormat="1" ht="12.75" x14ac:dyDescent="0.2">
      <c r="C39" s="9"/>
      <c r="D39" s="10" t="s">
        <v>58</v>
      </c>
      <c r="E39" s="34" t="s">
        <v>59</v>
      </c>
      <c r="F39" s="12" t="s">
        <v>60</v>
      </c>
      <c r="G39" s="13">
        <f t="shared" si="0"/>
        <v>0</v>
      </c>
      <c r="H39" s="15"/>
      <c r="I39" s="15"/>
      <c r="J39" s="15"/>
      <c r="K39" s="15"/>
      <c r="L39" s="61"/>
      <c r="M39" s="49"/>
      <c r="P39" s="67"/>
    </row>
    <row r="40" spans="3:16" s="60" customFormat="1" ht="12.75" x14ac:dyDescent="0.2">
      <c r="C40" s="9"/>
      <c r="D40" s="10" t="s">
        <v>61</v>
      </c>
      <c r="E40" s="35" t="s">
        <v>53</v>
      </c>
      <c r="F40" s="12" t="s">
        <v>62</v>
      </c>
      <c r="G40" s="13">
        <f t="shared" si="0"/>
        <v>0</v>
      </c>
      <c r="H40" s="15"/>
      <c r="I40" s="15"/>
      <c r="J40" s="15"/>
      <c r="K40" s="15"/>
      <c r="L40" s="61"/>
      <c r="M40" s="49"/>
      <c r="P40" s="67"/>
    </row>
    <row r="41" spans="3:16" s="60" customFormat="1" ht="12.75" x14ac:dyDescent="0.2">
      <c r="C41" s="9"/>
      <c r="D41" s="10" t="s">
        <v>63</v>
      </c>
      <c r="E41" s="14" t="s">
        <v>64</v>
      </c>
      <c r="F41" s="12" t="s">
        <v>65</v>
      </c>
      <c r="G41" s="13">
        <f t="shared" si="0"/>
        <v>4225.8130000000001</v>
      </c>
      <c r="H41" s="13">
        <f>SUM(H42:H44)</f>
        <v>0</v>
      </c>
      <c r="I41" s="13">
        <f>SUM(I42:I44)</f>
        <v>4225.8130000000001</v>
      </c>
      <c r="J41" s="13">
        <f>SUM(J42:J44)</f>
        <v>0</v>
      </c>
      <c r="K41" s="13">
        <f>SUM(K42:K44)</f>
        <v>0</v>
      </c>
      <c r="L41" s="61"/>
      <c r="M41" s="49"/>
      <c r="P41" s="67"/>
    </row>
    <row r="42" spans="3:16" s="60" customFormat="1" ht="12.75" x14ac:dyDescent="0.2">
      <c r="C42" s="9"/>
      <c r="D42" s="16" t="s">
        <v>66</v>
      </c>
      <c r="E42" s="17"/>
      <c r="F42" s="18" t="s">
        <v>65</v>
      </c>
      <c r="G42" s="19"/>
      <c r="H42" s="19"/>
      <c r="I42" s="19"/>
      <c r="J42" s="19"/>
      <c r="K42" s="19"/>
      <c r="L42" s="61"/>
      <c r="M42" s="49"/>
      <c r="P42" s="67"/>
    </row>
    <row r="43" spans="3:16" s="60" customFormat="1" ht="15" x14ac:dyDescent="0.25">
      <c r="C43" s="24" t="s">
        <v>29</v>
      </c>
      <c r="D43" s="25" t="s">
        <v>67</v>
      </c>
      <c r="E43" s="26" t="s">
        <v>68</v>
      </c>
      <c r="F43" s="27">
        <v>751</v>
      </c>
      <c r="G43" s="28">
        <f>SUM(H43:K43)</f>
        <v>4225.8130000000001</v>
      </c>
      <c r="H43" s="29"/>
      <c r="I43" s="29">
        <v>4225.8130000000001</v>
      </c>
      <c r="J43" s="29"/>
      <c r="K43" s="30"/>
      <c r="L43" s="61"/>
      <c r="M43" s="69" t="s">
        <v>330</v>
      </c>
      <c r="N43" s="70" t="s">
        <v>331</v>
      </c>
      <c r="O43" s="70" t="s">
        <v>332</v>
      </c>
    </row>
    <row r="44" spans="3:16" s="60" customFormat="1" ht="12.75" x14ac:dyDescent="0.2">
      <c r="C44" s="9"/>
      <c r="D44" s="36"/>
      <c r="E44" s="21" t="s">
        <v>20</v>
      </c>
      <c r="F44" s="22"/>
      <c r="G44" s="22"/>
      <c r="H44" s="22"/>
      <c r="I44" s="22"/>
      <c r="J44" s="22"/>
      <c r="K44" s="23"/>
      <c r="L44" s="61"/>
      <c r="M44" s="49"/>
      <c r="P44" s="67"/>
    </row>
    <row r="45" spans="3:16" s="60" customFormat="1" ht="12.75" x14ac:dyDescent="0.2">
      <c r="C45" s="9"/>
      <c r="D45" s="10" t="s">
        <v>69</v>
      </c>
      <c r="E45" s="37" t="s">
        <v>70</v>
      </c>
      <c r="F45" s="12" t="s">
        <v>71</v>
      </c>
      <c r="G45" s="13">
        <f t="shared" si="0"/>
        <v>0</v>
      </c>
      <c r="H45" s="15"/>
      <c r="I45" s="15"/>
      <c r="J45" s="15"/>
      <c r="K45" s="15"/>
      <c r="L45" s="61"/>
      <c r="M45" s="49"/>
      <c r="P45" s="67">
        <v>120</v>
      </c>
    </row>
    <row r="46" spans="3:16" s="60" customFormat="1" ht="12.75" x14ac:dyDescent="0.2">
      <c r="C46" s="9"/>
      <c r="D46" s="10" t="s">
        <v>72</v>
      </c>
      <c r="E46" s="11" t="s">
        <v>73</v>
      </c>
      <c r="F46" s="12" t="s">
        <v>74</v>
      </c>
      <c r="G46" s="13">
        <f t="shared" si="0"/>
        <v>2978.3450000000003</v>
      </c>
      <c r="H46" s="15">
        <f>H26-H49-H35</f>
        <v>875.21100000000001</v>
      </c>
      <c r="I46" s="15">
        <f>I15-I35-I49</f>
        <v>1079.402</v>
      </c>
      <c r="J46" s="15">
        <f>J24+J29+J17-J35-J49</f>
        <v>1023.7320000000001</v>
      </c>
      <c r="K46" s="15">
        <f>K32-K35-K49</f>
        <v>0</v>
      </c>
      <c r="L46" s="61"/>
      <c r="M46" s="49"/>
      <c r="P46" s="67">
        <v>150</v>
      </c>
    </row>
    <row r="47" spans="3:16" s="60" customFormat="1" ht="12.75" x14ac:dyDescent="0.2">
      <c r="C47" s="9"/>
      <c r="D47" s="10" t="s">
        <v>75</v>
      </c>
      <c r="E47" s="11" t="s">
        <v>76</v>
      </c>
      <c r="F47" s="12" t="s">
        <v>77</v>
      </c>
      <c r="G47" s="13">
        <f t="shared" si="0"/>
        <v>0</v>
      </c>
      <c r="H47" s="15"/>
      <c r="I47" s="15"/>
      <c r="J47" s="15"/>
      <c r="K47" s="15"/>
      <c r="L47" s="61"/>
      <c r="M47" s="49"/>
      <c r="P47" s="67">
        <v>160</v>
      </c>
    </row>
    <row r="48" spans="3:16" s="60" customFormat="1" ht="12.75" x14ac:dyDescent="0.2">
      <c r="C48" s="9"/>
      <c r="D48" s="10" t="s">
        <v>78</v>
      </c>
      <c r="E48" s="11" t="s">
        <v>79</v>
      </c>
      <c r="F48" s="12" t="s">
        <v>80</v>
      </c>
      <c r="G48" s="13">
        <f t="shared" si="0"/>
        <v>0</v>
      </c>
      <c r="H48" s="15"/>
      <c r="I48" s="15"/>
      <c r="J48" s="15"/>
      <c r="K48" s="15"/>
      <c r="L48" s="61"/>
      <c r="M48" s="49"/>
      <c r="P48" s="67">
        <v>180</v>
      </c>
    </row>
    <row r="49" spans="3:16" s="60" customFormat="1" ht="12.75" x14ac:dyDescent="0.2">
      <c r="C49" s="9"/>
      <c r="D49" s="10" t="s">
        <v>81</v>
      </c>
      <c r="E49" s="11" t="s">
        <v>82</v>
      </c>
      <c r="F49" s="12" t="s">
        <v>83</v>
      </c>
      <c r="G49" s="13">
        <f t="shared" si="0"/>
        <v>261.34100000000001</v>
      </c>
      <c r="H49" s="15">
        <v>2E-3</v>
      </c>
      <c r="I49" s="15">
        <v>52.945999999999998</v>
      </c>
      <c r="J49" s="15">
        <v>103.119</v>
      </c>
      <c r="K49" s="15">
        <v>105.274</v>
      </c>
      <c r="L49" s="61"/>
      <c r="M49" s="49"/>
      <c r="P49" s="67">
        <v>190</v>
      </c>
    </row>
    <row r="50" spans="3:16" s="60" customFormat="1" ht="12.75" x14ac:dyDescent="0.2">
      <c r="C50" s="9"/>
      <c r="D50" s="10" t="s">
        <v>84</v>
      </c>
      <c r="E50" s="14" t="s">
        <v>85</v>
      </c>
      <c r="F50" s="12" t="s">
        <v>86</v>
      </c>
      <c r="G50" s="13">
        <f t="shared" si="0"/>
        <v>0</v>
      </c>
      <c r="H50" s="15"/>
      <c r="I50" s="15"/>
      <c r="J50" s="15"/>
      <c r="K50" s="15"/>
      <c r="L50" s="61"/>
      <c r="M50" s="49"/>
      <c r="P50" s="67">
        <v>200</v>
      </c>
    </row>
    <row r="51" spans="3:16" s="60" customFormat="1" ht="22.5" x14ac:dyDescent="0.2">
      <c r="C51" s="9"/>
      <c r="D51" s="10" t="s">
        <v>87</v>
      </c>
      <c r="E51" s="11" t="s">
        <v>88</v>
      </c>
      <c r="F51" s="12" t="s">
        <v>89</v>
      </c>
      <c r="G51" s="13">
        <f t="shared" si="0"/>
        <v>154.5</v>
      </c>
      <c r="H51" s="15"/>
      <c r="I51" s="15">
        <f>154.5*0.2468</f>
        <v>38.130600000000001</v>
      </c>
      <c r="J51" s="15">
        <f>154.5*0.3291</f>
        <v>50.845950000000002</v>
      </c>
      <c r="K51" s="15">
        <f>154.5*0.4241</f>
        <v>65.523449999999997</v>
      </c>
      <c r="L51" s="61"/>
      <c r="M51" s="49"/>
      <c r="P51" s="68"/>
    </row>
    <row r="52" spans="3:16" s="60" customFormat="1" ht="33.75" x14ac:dyDescent="0.2">
      <c r="C52" s="9"/>
      <c r="D52" s="10" t="s">
        <v>90</v>
      </c>
      <c r="E52" s="32" t="s">
        <v>91</v>
      </c>
      <c r="F52" s="12" t="s">
        <v>92</v>
      </c>
      <c r="G52" s="13">
        <f t="shared" si="0"/>
        <v>106.84099999999999</v>
      </c>
      <c r="H52" s="13">
        <f>H49-H51</f>
        <v>2E-3</v>
      </c>
      <c r="I52" s="13">
        <f>I49-I51</f>
        <v>14.815399999999997</v>
      </c>
      <c r="J52" s="13">
        <f>J49-J51</f>
        <v>52.273049999999998</v>
      </c>
      <c r="K52" s="13">
        <f>K49-K51</f>
        <v>39.750550000000004</v>
      </c>
      <c r="L52" s="61"/>
      <c r="M52" s="49"/>
      <c r="P52" s="68"/>
    </row>
    <row r="53" spans="3:16" s="60" customFormat="1" ht="12.75" x14ac:dyDescent="0.2">
      <c r="C53" s="9"/>
      <c r="D53" s="10" t="s">
        <v>93</v>
      </c>
      <c r="E53" s="11" t="s">
        <v>94</v>
      </c>
      <c r="F53" s="12" t="s">
        <v>95</v>
      </c>
      <c r="G53" s="13">
        <f t="shared" si="0"/>
        <v>0</v>
      </c>
      <c r="H53" s="13">
        <f>(H15+H29+H34)-(H35+H46+H47+H48+H49)</f>
        <v>0</v>
      </c>
      <c r="I53" s="13">
        <f>(I15+I29+I34)-(I35+I46+I47+I48+I49)</f>
        <v>0</v>
      </c>
      <c r="J53" s="13">
        <f>(J15+J29+J34)-(J35+J46+J47+J48+J49)</f>
        <v>0</v>
      </c>
      <c r="K53" s="13">
        <f>(K15+K29+K34)-(K35+K46+K47+K48+K49)</f>
        <v>0</v>
      </c>
      <c r="L53" s="61"/>
      <c r="M53" s="49"/>
      <c r="P53" s="67">
        <v>210</v>
      </c>
    </row>
    <row r="54" spans="3:16" s="60" customFormat="1" ht="12.75" x14ac:dyDescent="0.2">
      <c r="C54" s="9"/>
      <c r="D54" s="99" t="s">
        <v>96</v>
      </c>
      <c r="E54" s="100"/>
      <c r="F54" s="100"/>
      <c r="G54" s="100"/>
      <c r="H54" s="100"/>
      <c r="I54" s="100"/>
      <c r="J54" s="100"/>
      <c r="K54" s="101"/>
      <c r="L54" s="61"/>
      <c r="M54" s="49"/>
      <c r="P54" s="68"/>
    </row>
    <row r="55" spans="3:16" s="60" customFormat="1" ht="12.75" x14ac:dyDescent="0.2">
      <c r="C55" s="9"/>
      <c r="D55" s="10" t="s">
        <v>97</v>
      </c>
      <c r="E55" s="11" t="s">
        <v>13</v>
      </c>
      <c r="F55" s="12" t="s">
        <v>98</v>
      </c>
      <c r="G55" s="13">
        <f t="shared" si="0"/>
        <v>10.289067204301075</v>
      </c>
      <c r="H55" s="13">
        <f>H56+H57+H61+H64</f>
        <v>1.1763615591397849</v>
      </c>
      <c r="I55" s="13">
        <f>I56+I57+I61+I64</f>
        <v>8.1868561827956992</v>
      </c>
      <c r="J55" s="13">
        <f>J56+J57+J61+J64</f>
        <v>0.92584946236559129</v>
      </c>
      <c r="K55" s="13">
        <f>K56+K57+K61+K64</f>
        <v>0</v>
      </c>
      <c r="L55" s="61"/>
      <c r="M55" s="49"/>
      <c r="P55" s="67">
        <v>300</v>
      </c>
    </row>
    <row r="56" spans="3:16" s="60" customFormat="1" ht="12.75" x14ac:dyDescent="0.2">
      <c r="C56" s="9"/>
      <c r="D56" s="10" t="s">
        <v>99</v>
      </c>
      <c r="E56" s="14" t="s">
        <v>15</v>
      </c>
      <c r="F56" s="12" t="s">
        <v>100</v>
      </c>
      <c r="G56" s="13">
        <f t="shared" si="0"/>
        <v>0</v>
      </c>
      <c r="H56" s="15"/>
      <c r="I56" s="15"/>
      <c r="J56" s="15"/>
      <c r="K56" s="15"/>
      <c r="L56" s="61"/>
      <c r="M56" s="49"/>
      <c r="P56" s="67">
        <v>310</v>
      </c>
    </row>
    <row r="57" spans="3:16" s="60" customFormat="1" ht="12.75" x14ac:dyDescent="0.2">
      <c r="C57" s="9"/>
      <c r="D57" s="10" t="s">
        <v>101</v>
      </c>
      <c r="E57" s="14" t="s">
        <v>17</v>
      </c>
      <c r="F57" s="12" t="s">
        <v>102</v>
      </c>
      <c r="G57" s="13">
        <f t="shared" si="0"/>
        <v>0</v>
      </c>
      <c r="H57" s="13">
        <f>SUM(H58:H60)</f>
        <v>0</v>
      </c>
      <c r="I57" s="13">
        <f>SUM(I58:I60)</f>
        <v>0</v>
      </c>
      <c r="J57" s="13">
        <f>SUM(J58:J60)</f>
        <v>0</v>
      </c>
      <c r="K57" s="13">
        <f>SUM(K58:K60)</f>
        <v>0</v>
      </c>
      <c r="L57" s="61"/>
      <c r="M57" s="49"/>
      <c r="P57" s="67">
        <v>320</v>
      </c>
    </row>
    <row r="58" spans="3:16" s="60" customFormat="1" ht="12.75" x14ac:dyDescent="0.2">
      <c r="C58" s="9"/>
      <c r="D58" s="16" t="s">
        <v>103</v>
      </c>
      <c r="E58" s="17"/>
      <c r="F58" s="18" t="s">
        <v>102</v>
      </c>
      <c r="G58" s="19"/>
      <c r="H58" s="19"/>
      <c r="I58" s="19"/>
      <c r="J58" s="19"/>
      <c r="K58" s="19"/>
      <c r="L58" s="61"/>
      <c r="M58" s="49"/>
      <c r="P58" s="67"/>
    </row>
    <row r="59" spans="3:16" s="60" customFormat="1" ht="15" x14ac:dyDescent="0.25">
      <c r="C59" s="24" t="s">
        <v>29</v>
      </c>
      <c r="D59" s="25" t="s">
        <v>341</v>
      </c>
      <c r="E59" s="26" t="s">
        <v>337</v>
      </c>
      <c r="F59" s="27">
        <v>1061</v>
      </c>
      <c r="G59" s="28">
        <f>SUM(H59:K59)</f>
        <v>0</v>
      </c>
      <c r="H59" s="29"/>
      <c r="I59" s="29"/>
      <c r="J59" s="29">
        <f>J19/744</f>
        <v>0</v>
      </c>
      <c r="K59" s="30"/>
      <c r="L59" s="61"/>
      <c r="M59" s="69" t="s">
        <v>338</v>
      </c>
      <c r="N59" s="70" t="s">
        <v>339</v>
      </c>
      <c r="O59" s="70" t="s">
        <v>340</v>
      </c>
    </row>
    <row r="60" spans="3:16" s="60" customFormat="1" ht="12.75" x14ac:dyDescent="0.2">
      <c r="C60" s="9"/>
      <c r="D60" s="20"/>
      <c r="E60" s="21" t="s">
        <v>20</v>
      </c>
      <c r="F60" s="22"/>
      <c r="G60" s="22"/>
      <c r="H60" s="22"/>
      <c r="I60" s="22"/>
      <c r="J60" s="22"/>
      <c r="K60" s="23"/>
      <c r="L60" s="61"/>
      <c r="M60" s="49"/>
      <c r="P60" s="67"/>
    </row>
    <row r="61" spans="3:16" s="60" customFormat="1" ht="12.75" x14ac:dyDescent="0.2">
      <c r="C61" s="9"/>
      <c r="D61" s="10" t="s">
        <v>104</v>
      </c>
      <c r="E61" s="14" t="s">
        <v>22</v>
      </c>
      <c r="F61" s="12" t="s">
        <v>105</v>
      </c>
      <c r="G61" s="13">
        <f t="shared" si="0"/>
        <v>0</v>
      </c>
      <c r="H61" s="13">
        <f>SUM(H62:H63)</f>
        <v>0</v>
      </c>
      <c r="I61" s="13">
        <f>SUM(I62:I63)</f>
        <v>0</v>
      </c>
      <c r="J61" s="13">
        <f>SUM(J62:J63)</f>
        <v>0</v>
      </c>
      <c r="K61" s="13">
        <f>SUM(K62:K63)</f>
        <v>0</v>
      </c>
      <c r="L61" s="61"/>
      <c r="M61" s="49"/>
      <c r="P61" s="67"/>
    </row>
    <row r="62" spans="3:16" s="60" customFormat="1" ht="12.75" x14ac:dyDescent="0.2">
      <c r="C62" s="9"/>
      <c r="D62" s="16" t="s">
        <v>106</v>
      </c>
      <c r="E62" s="17"/>
      <c r="F62" s="18" t="s">
        <v>105</v>
      </c>
      <c r="G62" s="19"/>
      <c r="H62" s="19"/>
      <c r="I62" s="19"/>
      <c r="J62" s="19"/>
      <c r="K62" s="19"/>
      <c r="L62" s="61"/>
      <c r="M62" s="49"/>
      <c r="P62" s="67"/>
    </row>
    <row r="63" spans="3:16" s="60" customFormat="1" ht="12.75" x14ac:dyDescent="0.2">
      <c r="C63" s="9"/>
      <c r="D63" s="20"/>
      <c r="E63" s="21" t="s">
        <v>20</v>
      </c>
      <c r="F63" s="22"/>
      <c r="G63" s="22"/>
      <c r="H63" s="22"/>
      <c r="I63" s="22"/>
      <c r="J63" s="22"/>
      <c r="K63" s="23"/>
      <c r="L63" s="61"/>
      <c r="M63" s="49"/>
      <c r="P63" s="67"/>
    </row>
    <row r="64" spans="3:16" s="60" customFormat="1" ht="12.75" x14ac:dyDescent="0.2">
      <c r="C64" s="9"/>
      <c r="D64" s="10" t="s">
        <v>107</v>
      </c>
      <c r="E64" s="14" t="s">
        <v>26</v>
      </c>
      <c r="F64" s="12" t="s">
        <v>108</v>
      </c>
      <c r="G64" s="13">
        <f t="shared" si="0"/>
        <v>10.289067204301075</v>
      </c>
      <c r="H64" s="13">
        <f>SUM(H65:H68)</f>
        <v>1.1763615591397849</v>
      </c>
      <c r="I64" s="13">
        <f>SUM(I65:I68)</f>
        <v>8.1868561827956992</v>
      </c>
      <c r="J64" s="13">
        <f>SUM(J65:J68)</f>
        <v>0.92584946236559129</v>
      </c>
      <c r="K64" s="13">
        <f>SUM(K65:K68)</f>
        <v>0</v>
      </c>
      <c r="L64" s="61"/>
      <c r="M64" s="49"/>
      <c r="P64" s="67">
        <v>330</v>
      </c>
    </row>
    <row r="65" spans="3:16" s="60" customFormat="1" ht="12.75" x14ac:dyDescent="0.2">
      <c r="C65" s="9"/>
      <c r="D65" s="16" t="s">
        <v>109</v>
      </c>
      <c r="E65" s="17"/>
      <c r="F65" s="18" t="s">
        <v>108</v>
      </c>
      <c r="G65" s="19"/>
      <c r="H65" s="19"/>
      <c r="I65" s="19"/>
      <c r="J65" s="19"/>
      <c r="K65" s="19"/>
      <c r="L65" s="61"/>
      <c r="M65" s="49"/>
      <c r="P65" s="67"/>
    </row>
    <row r="66" spans="3:16" s="60" customFormat="1" ht="15" x14ac:dyDescent="0.25">
      <c r="C66" s="24" t="s">
        <v>29</v>
      </c>
      <c r="D66" s="25" t="s">
        <v>110</v>
      </c>
      <c r="E66" s="26" t="s">
        <v>344</v>
      </c>
      <c r="F66" s="27">
        <v>1461</v>
      </c>
      <c r="G66" s="28">
        <f>SUM(H66:K66)</f>
        <v>9.891634408602151</v>
      </c>
      <c r="H66" s="29">
        <f>H26/744</f>
        <v>1.1763615591397849</v>
      </c>
      <c r="I66" s="29">
        <f>I26/744</f>
        <v>8.1868561827956992</v>
      </c>
      <c r="J66" s="29">
        <f>J26/744</f>
        <v>0.52841666666666665</v>
      </c>
      <c r="K66" s="29"/>
      <c r="L66" s="61"/>
      <c r="M66" s="69" t="s">
        <v>327</v>
      </c>
      <c r="N66" s="70" t="s">
        <v>328</v>
      </c>
      <c r="O66" s="70" t="s">
        <v>329</v>
      </c>
    </row>
    <row r="67" spans="3:16" s="60" customFormat="1" ht="15" x14ac:dyDescent="0.25">
      <c r="C67" s="24" t="s">
        <v>29</v>
      </c>
      <c r="D67" s="25" t="s">
        <v>343</v>
      </c>
      <c r="E67" s="26" t="s">
        <v>68</v>
      </c>
      <c r="F67" s="27">
        <v>1462</v>
      </c>
      <c r="G67" s="28">
        <f>SUM(H67:K67)</f>
        <v>0.3974327956989247</v>
      </c>
      <c r="H67" s="29"/>
      <c r="I67" s="29"/>
      <c r="J67" s="29">
        <f>J27/744</f>
        <v>0.3974327956989247</v>
      </c>
      <c r="K67" s="30"/>
      <c r="L67" s="61"/>
      <c r="M67" s="69" t="s">
        <v>330</v>
      </c>
      <c r="N67" s="70" t="s">
        <v>328</v>
      </c>
      <c r="O67" s="70" t="s">
        <v>332</v>
      </c>
    </row>
    <row r="68" spans="3:16" s="60" customFormat="1" ht="12.75" x14ac:dyDescent="0.2">
      <c r="C68" s="9"/>
      <c r="D68" s="20"/>
      <c r="E68" s="21" t="s">
        <v>20</v>
      </c>
      <c r="F68" s="22"/>
      <c r="G68" s="22"/>
      <c r="H68" s="22"/>
      <c r="I68" s="22"/>
      <c r="J68" s="22"/>
      <c r="K68" s="23"/>
      <c r="L68" s="61"/>
      <c r="M68" s="49"/>
      <c r="P68" s="67"/>
    </row>
    <row r="69" spans="3:16" s="60" customFormat="1" ht="12.75" x14ac:dyDescent="0.2">
      <c r="C69" s="9"/>
      <c r="D69" s="10" t="s">
        <v>111</v>
      </c>
      <c r="E69" s="11" t="s">
        <v>32</v>
      </c>
      <c r="F69" s="12" t="s">
        <v>112</v>
      </c>
      <c r="G69" s="13">
        <f t="shared" si="0"/>
        <v>4.0031518817204299</v>
      </c>
      <c r="H69" s="13">
        <f>H71+H72+H73</f>
        <v>0</v>
      </c>
      <c r="I69" s="13">
        <f>I70+I72+I73</f>
        <v>0</v>
      </c>
      <c r="J69" s="13">
        <f>J70+J71+J73</f>
        <v>2.6271680107526882</v>
      </c>
      <c r="K69" s="13">
        <f>K70+K71+K72</f>
        <v>1.3759838709677419</v>
      </c>
      <c r="L69" s="61"/>
      <c r="M69" s="49"/>
      <c r="P69" s="67">
        <v>340</v>
      </c>
    </row>
    <row r="70" spans="3:16" s="60" customFormat="1" ht="12.75" x14ac:dyDescent="0.2">
      <c r="C70" s="9"/>
      <c r="D70" s="10" t="s">
        <v>113</v>
      </c>
      <c r="E70" s="14" t="s">
        <v>7</v>
      </c>
      <c r="F70" s="12" t="s">
        <v>114</v>
      </c>
      <c r="G70" s="13">
        <f t="shared" si="0"/>
        <v>1.1763588709677419</v>
      </c>
      <c r="H70" s="31"/>
      <c r="I70" s="15"/>
      <c r="J70" s="15">
        <f>J30/744</f>
        <v>1.1763588709677419</v>
      </c>
      <c r="K70" s="15"/>
      <c r="L70" s="61"/>
      <c r="M70" s="49"/>
      <c r="P70" s="67">
        <v>350</v>
      </c>
    </row>
    <row r="71" spans="3:16" s="60" customFormat="1" ht="12.75" x14ac:dyDescent="0.2">
      <c r="C71" s="9"/>
      <c r="D71" s="10" t="s">
        <v>115</v>
      </c>
      <c r="E71" s="14" t="s">
        <v>8</v>
      </c>
      <c r="F71" s="12" t="s">
        <v>116</v>
      </c>
      <c r="G71" s="13">
        <f t="shared" si="0"/>
        <v>1.4508091397849463</v>
      </c>
      <c r="H71" s="15"/>
      <c r="I71" s="38"/>
      <c r="J71" s="15">
        <f>J31/744</f>
        <v>1.4508091397849463</v>
      </c>
      <c r="K71" s="15"/>
      <c r="L71" s="61"/>
      <c r="M71" s="49"/>
      <c r="P71" s="67">
        <v>360</v>
      </c>
    </row>
    <row r="72" spans="3:16" s="60" customFormat="1" ht="12.75" x14ac:dyDescent="0.2">
      <c r="C72" s="9"/>
      <c r="D72" s="10" t="s">
        <v>117</v>
      </c>
      <c r="E72" s="14" t="s">
        <v>9</v>
      </c>
      <c r="F72" s="12" t="s">
        <v>118</v>
      </c>
      <c r="G72" s="13">
        <f t="shared" si="0"/>
        <v>1.3759838709677419</v>
      </c>
      <c r="H72" s="15"/>
      <c r="I72" s="15"/>
      <c r="J72" s="31"/>
      <c r="K72" s="15">
        <f>K32/744</f>
        <v>1.3759838709677419</v>
      </c>
      <c r="L72" s="61"/>
      <c r="M72" s="49"/>
      <c r="P72" s="67">
        <v>370</v>
      </c>
    </row>
    <row r="73" spans="3:16" s="60" customFormat="1" ht="12.75" x14ac:dyDescent="0.2">
      <c r="C73" s="9"/>
      <c r="D73" s="10" t="s">
        <v>119</v>
      </c>
      <c r="E73" s="14" t="s">
        <v>41</v>
      </c>
      <c r="F73" s="12" t="s">
        <v>120</v>
      </c>
      <c r="G73" s="13">
        <f t="shared" si="0"/>
        <v>0</v>
      </c>
      <c r="H73" s="15"/>
      <c r="I73" s="15"/>
      <c r="J73" s="15"/>
      <c r="K73" s="31"/>
      <c r="L73" s="61"/>
      <c r="M73" s="49"/>
      <c r="P73" s="67">
        <v>380</v>
      </c>
    </row>
    <row r="74" spans="3:16" s="60" customFormat="1" ht="12.75" x14ac:dyDescent="0.2">
      <c r="C74" s="9"/>
      <c r="D74" s="10" t="s">
        <v>121</v>
      </c>
      <c r="E74" s="32" t="s">
        <v>44</v>
      </c>
      <c r="F74" s="12" t="s">
        <v>122</v>
      </c>
      <c r="G74" s="13">
        <f t="shared" si="0"/>
        <v>0</v>
      </c>
      <c r="H74" s="15"/>
      <c r="I74" s="15"/>
      <c r="J74" s="15"/>
      <c r="K74" s="15"/>
      <c r="L74" s="61"/>
      <c r="M74" s="49"/>
      <c r="P74" s="67"/>
    </row>
    <row r="75" spans="3:16" s="60" customFormat="1" ht="12.75" x14ac:dyDescent="0.2">
      <c r="C75" s="9"/>
      <c r="D75" s="10" t="s">
        <v>123</v>
      </c>
      <c r="E75" s="11" t="s">
        <v>47</v>
      </c>
      <c r="F75" s="33" t="s">
        <v>124</v>
      </c>
      <c r="G75" s="13">
        <f t="shared" si="0"/>
        <v>9.9378024193548384</v>
      </c>
      <c r="H75" s="13">
        <f>H76+H78+H81+H85</f>
        <v>0</v>
      </c>
      <c r="I75" s="13">
        <f>I76+I78+I81+I85</f>
        <v>6.664883064516129</v>
      </c>
      <c r="J75" s="13">
        <f>J76+J78+J81+J85</f>
        <v>2.0384327956989248</v>
      </c>
      <c r="K75" s="13">
        <f>K76+K78+K81+K85</f>
        <v>1.2344865591397849</v>
      </c>
      <c r="L75" s="61"/>
      <c r="M75" s="49"/>
      <c r="P75" s="67">
        <v>390</v>
      </c>
    </row>
    <row r="76" spans="3:16" s="60" customFormat="1" ht="22.5" x14ac:dyDescent="0.2">
      <c r="C76" s="9"/>
      <c r="D76" s="10" t="s">
        <v>125</v>
      </c>
      <c r="E76" s="14" t="s">
        <v>50</v>
      </c>
      <c r="F76" s="12" t="s">
        <v>126</v>
      </c>
      <c r="G76" s="13">
        <f t="shared" si="0"/>
        <v>0</v>
      </c>
      <c r="H76" s="15"/>
      <c r="I76" s="15"/>
      <c r="J76" s="15"/>
      <c r="K76" s="15"/>
      <c r="L76" s="61"/>
      <c r="M76" s="49"/>
      <c r="P76" s="67"/>
    </row>
    <row r="77" spans="3:16" s="60" customFormat="1" ht="12.75" x14ac:dyDescent="0.2">
      <c r="C77" s="9"/>
      <c r="D77" s="10" t="s">
        <v>127</v>
      </c>
      <c r="E77" s="34" t="s">
        <v>53</v>
      </c>
      <c r="F77" s="12" t="s">
        <v>128</v>
      </c>
      <c r="G77" s="13">
        <f t="shared" si="0"/>
        <v>0</v>
      </c>
      <c r="H77" s="15"/>
      <c r="I77" s="15"/>
      <c r="J77" s="15"/>
      <c r="K77" s="15"/>
      <c r="L77" s="61"/>
      <c r="M77" s="49"/>
      <c r="P77" s="67"/>
    </row>
    <row r="78" spans="3:16" s="60" customFormat="1" ht="12.75" x14ac:dyDescent="0.2">
      <c r="C78" s="9"/>
      <c r="D78" s="10" t="s">
        <v>129</v>
      </c>
      <c r="E78" s="14" t="s">
        <v>56</v>
      </c>
      <c r="F78" s="12" t="s">
        <v>130</v>
      </c>
      <c r="G78" s="13">
        <f t="shared" si="0"/>
        <v>4.257946236559139</v>
      </c>
      <c r="H78" s="15">
        <f>H38/744</f>
        <v>0</v>
      </c>
      <c r="I78" s="15">
        <f>I38/744</f>
        <v>0.98502688172042963</v>
      </c>
      <c r="J78" s="15">
        <f>J38/744</f>
        <v>2.0384327956989248</v>
      </c>
      <c r="K78" s="15">
        <f>K38/744</f>
        <v>1.2344865591397849</v>
      </c>
      <c r="L78" s="61"/>
      <c r="M78" s="49"/>
      <c r="P78" s="67"/>
    </row>
    <row r="79" spans="3:16" s="60" customFormat="1" ht="12.75" x14ac:dyDescent="0.2">
      <c r="C79" s="9"/>
      <c r="D79" s="10" t="s">
        <v>131</v>
      </c>
      <c r="E79" s="34" t="s">
        <v>59</v>
      </c>
      <c r="F79" s="12" t="s">
        <v>132</v>
      </c>
      <c r="G79" s="13">
        <f t="shared" si="0"/>
        <v>0</v>
      </c>
      <c r="H79" s="15"/>
      <c r="I79" s="15"/>
      <c r="J79" s="15"/>
      <c r="K79" s="15"/>
      <c r="L79" s="61"/>
      <c r="M79" s="49"/>
      <c r="P79" s="67"/>
    </row>
    <row r="80" spans="3:16" s="60" customFormat="1" ht="12.75" x14ac:dyDescent="0.2">
      <c r="C80" s="9"/>
      <c r="D80" s="10" t="s">
        <v>133</v>
      </c>
      <c r="E80" s="35" t="s">
        <v>53</v>
      </c>
      <c r="F80" s="12" t="s">
        <v>134</v>
      </c>
      <c r="G80" s="13">
        <f t="shared" si="0"/>
        <v>0</v>
      </c>
      <c r="H80" s="15"/>
      <c r="I80" s="15"/>
      <c r="J80" s="15"/>
      <c r="K80" s="15"/>
      <c r="L80" s="61"/>
      <c r="M80" s="49"/>
      <c r="P80" s="67"/>
    </row>
    <row r="81" spans="3:16" s="60" customFormat="1" ht="12.75" x14ac:dyDescent="0.2">
      <c r="C81" s="9"/>
      <c r="D81" s="10" t="s">
        <v>135</v>
      </c>
      <c r="E81" s="14" t="s">
        <v>64</v>
      </c>
      <c r="F81" s="12" t="s">
        <v>136</v>
      </c>
      <c r="G81" s="13">
        <f t="shared" si="0"/>
        <v>5.6798561827956995</v>
      </c>
      <c r="H81" s="13">
        <f>SUM(H82:H84)</f>
        <v>0</v>
      </c>
      <c r="I81" s="13">
        <f>SUM(I82:I84)</f>
        <v>5.6798561827956995</v>
      </c>
      <c r="J81" s="13">
        <f>SUM(J82:J84)</f>
        <v>0</v>
      </c>
      <c r="K81" s="13">
        <f>SUM(K82:K84)</f>
        <v>0</v>
      </c>
      <c r="L81" s="61"/>
      <c r="M81" s="49"/>
      <c r="P81" s="67"/>
    </row>
    <row r="82" spans="3:16" s="60" customFormat="1" ht="12.75" x14ac:dyDescent="0.2">
      <c r="C82" s="9"/>
      <c r="D82" s="16" t="s">
        <v>137</v>
      </c>
      <c r="E82" s="17"/>
      <c r="F82" s="18" t="s">
        <v>136</v>
      </c>
      <c r="G82" s="19"/>
      <c r="H82" s="19"/>
      <c r="I82" s="19"/>
      <c r="J82" s="19"/>
      <c r="K82" s="19"/>
      <c r="L82" s="61"/>
      <c r="M82" s="49"/>
      <c r="P82" s="67"/>
    </row>
    <row r="83" spans="3:16" s="60" customFormat="1" ht="15" x14ac:dyDescent="0.25">
      <c r="C83" s="24" t="s">
        <v>29</v>
      </c>
      <c r="D83" s="25" t="s">
        <v>138</v>
      </c>
      <c r="E83" s="26" t="s">
        <v>68</v>
      </c>
      <c r="F83" s="27">
        <v>1781</v>
      </c>
      <c r="G83" s="28">
        <f>SUM(H83:K83)</f>
        <v>5.6798561827956995</v>
      </c>
      <c r="H83" s="29"/>
      <c r="I83" s="29">
        <f>I43/744</f>
        <v>5.6798561827956995</v>
      </c>
      <c r="J83" s="29"/>
      <c r="K83" s="30"/>
      <c r="L83" s="61"/>
      <c r="M83" s="69" t="s">
        <v>330</v>
      </c>
      <c r="N83" s="70" t="s">
        <v>331</v>
      </c>
      <c r="O83" s="70" t="s">
        <v>332</v>
      </c>
    </row>
    <row r="84" spans="3:16" s="60" customFormat="1" ht="12.75" x14ac:dyDescent="0.2">
      <c r="C84" s="9"/>
      <c r="D84" s="20"/>
      <c r="E84" s="21" t="s">
        <v>20</v>
      </c>
      <c r="F84" s="22"/>
      <c r="G84" s="22"/>
      <c r="H84" s="22"/>
      <c r="I84" s="22"/>
      <c r="J84" s="22"/>
      <c r="K84" s="23"/>
      <c r="L84" s="61"/>
      <c r="M84" s="49"/>
      <c r="P84" s="67"/>
    </row>
    <row r="85" spans="3:16" s="60" customFormat="1" ht="12.75" x14ac:dyDescent="0.2">
      <c r="C85" s="9"/>
      <c r="D85" s="10" t="s">
        <v>139</v>
      </c>
      <c r="E85" s="37" t="s">
        <v>70</v>
      </c>
      <c r="F85" s="12" t="s">
        <v>140</v>
      </c>
      <c r="G85" s="13">
        <f t="shared" si="0"/>
        <v>0</v>
      </c>
      <c r="H85" s="15"/>
      <c r="I85" s="15"/>
      <c r="J85" s="15"/>
      <c r="K85" s="15"/>
      <c r="L85" s="61"/>
      <c r="M85" s="49"/>
      <c r="P85" s="67">
        <v>410</v>
      </c>
    </row>
    <row r="86" spans="3:16" s="60" customFormat="1" ht="12.75" x14ac:dyDescent="0.2">
      <c r="C86" s="9"/>
      <c r="D86" s="10" t="s">
        <v>141</v>
      </c>
      <c r="E86" s="11" t="s">
        <v>73</v>
      </c>
      <c r="F86" s="12" t="s">
        <v>142</v>
      </c>
      <c r="G86" s="13">
        <f t="shared" si="0"/>
        <v>4.0031518817204308</v>
      </c>
      <c r="H86" s="15">
        <f>H46/744</f>
        <v>1.1763588709677419</v>
      </c>
      <c r="I86" s="15">
        <f>I46/744</f>
        <v>1.4508091397849463</v>
      </c>
      <c r="J86" s="15">
        <f>J46/744</f>
        <v>1.3759838709677421</v>
      </c>
      <c r="K86" s="15">
        <f>K46/744</f>
        <v>0</v>
      </c>
      <c r="L86" s="61"/>
      <c r="M86" s="49"/>
      <c r="P86" s="67">
        <v>440</v>
      </c>
    </row>
    <row r="87" spans="3:16" s="60" customFormat="1" ht="12.75" x14ac:dyDescent="0.2">
      <c r="C87" s="9"/>
      <c r="D87" s="10" t="s">
        <v>143</v>
      </c>
      <c r="E87" s="11" t="s">
        <v>76</v>
      </c>
      <c r="F87" s="12" t="s">
        <v>144</v>
      </c>
      <c r="G87" s="13">
        <f t="shared" si="0"/>
        <v>0</v>
      </c>
      <c r="H87" s="15"/>
      <c r="I87" s="15"/>
      <c r="J87" s="15"/>
      <c r="K87" s="15"/>
      <c r="L87" s="61"/>
      <c r="M87" s="49"/>
      <c r="P87" s="67">
        <v>450</v>
      </c>
    </row>
    <row r="88" spans="3:16" s="60" customFormat="1" ht="12.75" x14ac:dyDescent="0.2">
      <c r="C88" s="9"/>
      <c r="D88" s="10" t="s">
        <v>145</v>
      </c>
      <c r="E88" s="11" t="s">
        <v>79</v>
      </c>
      <c r="F88" s="12" t="s">
        <v>146</v>
      </c>
      <c r="G88" s="13">
        <f t="shared" si="0"/>
        <v>0</v>
      </c>
      <c r="H88" s="15"/>
      <c r="I88" s="15"/>
      <c r="J88" s="15"/>
      <c r="K88" s="15"/>
      <c r="L88" s="61"/>
      <c r="M88" s="49"/>
      <c r="P88" s="67">
        <v>470</v>
      </c>
    </row>
    <row r="89" spans="3:16" s="60" customFormat="1" ht="12.75" x14ac:dyDescent="0.2">
      <c r="C89" s="9"/>
      <c r="D89" s="10" t="s">
        <v>147</v>
      </c>
      <c r="E89" s="11" t="s">
        <v>82</v>
      </c>
      <c r="F89" s="12" t="s">
        <v>148</v>
      </c>
      <c r="G89" s="13">
        <f t="shared" si="0"/>
        <v>0.35126478494623659</v>
      </c>
      <c r="H89" s="15">
        <f>H49/744</f>
        <v>2.6881720430107529E-6</v>
      </c>
      <c r="I89" s="15">
        <f>I49/744</f>
        <v>7.116397849462365E-2</v>
      </c>
      <c r="J89" s="15">
        <f>J49/744</f>
        <v>0.13860080645161291</v>
      </c>
      <c r="K89" s="15">
        <f>K49/744</f>
        <v>0.141497311827957</v>
      </c>
      <c r="L89" s="61"/>
      <c r="M89" s="49"/>
      <c r="P89" s="67">
        <v>480</v>
      </c>
    </row>
    <row r="90" spans="3:16" s="60" customFormat="1" ht="12.75" x14ac:dyDescent="0.2">
      <c r="C90" s="9"/>
      <c r="D90" s="10" t="s">
        <v>149</v>
      </c>
      <c r="E90" s="14" t="s">
        <v>150</v>
      </c>
      <c r="F90" s="12" t="s">
        <v>151</v>
      </c>
      <c r="G90" s="13">
        <f t="shared" si="0"/>
        <v>0</v>
      </c>
      <c r="H90" s="15"/>
      <c r="I90" s="15"/>
      <c r="J90" s="15"/>
      <c r="K90" s="15"/>
      <c r="L90" s="61"/>
      <c r="M90" s="49"/>
      <c r="P90" s="67">
        <v>490</v>
      </c>
    </row>
    <row r="91" spans="3:16" s="60" customFormat="1" ht="22.5" x14ac:dyDescent="0.2">
      <c r="C91" s="9"/>
      <c r="D91" s="10" t="s">
        <v>152</v>
      </c>
      <c r="E91" s="11" t="s">
        <v>88</v>
      </c>
      <c r="F91" s="12" t="s">
        <v>153</v>
      </c>
      <c r="G91" s="13">
        <f t="shared" si="0"/>
        <v>0.20766129032258063</v>
      </c>
      <c r="H91" s="15"/>
      <c r="I91" s="15">
        <f>I51/744</f>
        <v>5.1250806451612903E-2</v>
      </c>
      <c r="J91" s="15">
        <f>J51/744</f>
        <v>6.8341330645161291E-2</v>
      </c>
      <c r="K91" s="15">
        <f>K51/744</f>
        <v>8.8069153225806454E-2</v>
      </c>
      <c r="L91" s="61"/>
      <c r="M91" s="49"/>
      <c r="P91" s="67"/>
    </row>
    <row r="92" spans="3:16" s="60" customFormat="1" ht="33.75" x14ac:dyDescent="0.2">
      <c r="C92" s="9"/>
      <c r="D92" s="10" t="s">
        <v>154</v>
      </c>
      <c r="E92" s="32" t="s">
        <v>91</v>
      </c>
      <c r="F92" s="12" t="s">
        <v>155</v>
      </c>
      <c r="G92" s="13">
        <f t="shared" si="0"/>
        <v>0.1436034946236559</v>
      </c>
      <c r="H92" s="13">
        <f>H89-H91</f>
        <v>2.6881720430107529E-6</v>
      </c>
      <c r="I92" s="13">
        <f>I89-I91</f>
        <v>1.9913172043010748E-2</v>
      </c>
      <c r="J92" s="13">
        <f>J89-J91</f>
        <v>7.0259475806451616E-2</v>
      </c>
      <c r="K92" s="13">
        <f>K89-K91</f>
        <v>5.3428158602150541E-2</v>
      </c>
      <c r="L92" s="61"/>
      <c r="M92" s="49"/>
      <c r="P92" s="67"/>
    </row>
    <row r="93" spans="3:16" s="60" customFormat="1" ht="12.75" x14ac:dyDescent="0.2">
      <c r="C93" s="9"/>
      <c r="D93" s="10" t="s">
        <v>156</v>
      </c>
      <c r="E93" s="11" t="s">
        <v>94</v>
      </c>
      <c r="F93" s="12" t="s">
        <v>157</v>
      </c>
      <c r="G93" s="13">
        <f t="shared" si="0"/>
        <v>0</v>
      </c>
      <c r="H93" s="13">
        <f>(H55+H69+H74)-(H75+H86+H87+H88+H89)</f>
        <v>0</v>
      </c>
      <c r="I93" s="13">
        <f>(I55+I69+I74)-(I75+I86+I87+I88+I89)</f>
        <v>0</v>
      </c>
      <c r="J93" s="13">
        <f>(J55+J69+J74)-(J75+J86+J87+J88+J89)</f>
        <v>0</v>
      </c>
      <c r="K93" s="13">
        <f>(K55+K69+K74)-(K75+K86+K87+K88+K89)</f>
        <v>0</v>
      </c>
      <c r="L93" s="61"/>
      <c r="M93" s="49"/>
      <c r="P93" s="67">
        <v>500</v>
      </c>
    </row>
    <row r="94" spans="3:16" s="60" customFormat="1" ht="12.75" x14ac:dyDescent="0.2">
      <c r="C94" s="9"/>
      <c r="D94" s="99" t="s">
        <v>158</v>
      </c>
      <c r="E94" s="100"/>
      <c r="F94" s="100"/>
      <c r="G94" s="100"/>
      <c r="H94" s="100"/>
      <c r="I94" s="100"/>
      <c r="J94" s="100"/>
      <c r="K94" s="101"/>
      <c r="L94" s="61"/>
      <c r="M94" s="49"/>
      <c r="P94" s="68"/>
    </row>
    <row r="95" spans="3:16" s="60" customFormat="1" ht="12.75" x14ac:dyDescent="0.2">
      <c r="C95" s="9"/>
      <c r="D95" s="10" t="s">
        <v>159</v>
      </c>
      <c r="E95" s="11" t="s">
        <v>160</v>
      </c>
      <c r="F95" s="12" t="s">
        <v>161</v>
      </c>
      <c r="G95" s="13">
        <f t="shared" si="0"/>
        <v>0</v>
      </c>
      <c r="H95" s="15"/>
      <c r="I95" s="15"/>
      <c r="J95" s="15"/>
      <c r="K95" s="15"/>
      <c r="L95" s="61"/>
      <c r="M95" s="49"/>
      <c r="P95" s="67">
        <v>600</v>
      </c>
    </row>
    <row r="96" spans="3:16" s="60" customFormat="1" ht="12.75" x14ac:dyDescent="0.2">
      <c r="C96" s="9"/>
      <c r="D96" s="10" t="s">
        <v>162</v>
      </c>
      <c r="E96" s="11" t="s">
        <v>163</v>
      </c>
      <c r="F96" s="12" t="s">
        <v>164</v>
      </c>
      <c r="G96" s="13">
        <f t="shared" si="0"/>
        <v>39.573</v>
      </c>
      <c r="H96" s="15"/>
      <c r="I96" s="15">
        <v>39.573</v>
      </c>
      <c r="J96" s="15"/>
      <c r="K96" s="15"/>
      <c r="L96" s="61"/>
      <c r="M96" s="49"/>
      <c r="P96" s="67">
        <v>610</v>
      </c>
    </row>
    <row r="97" spans="3:16" s="60" customFormat="1" ht="12.75" x14ac:dyDescent="0.2">
      <c r="C97" s="9"/>
      <c r="D97" s="10" t="s">
        <v>165</v>
      </c>
      <c r="E97" s="11" t="s">
        <v>166</v>
      </c>
      <c r="F97" s="12" t="s">
        <v>167</v>
      </c>
      <c r="G97" s="13">
        <f t="shared" si="0"/>
        <v>0</v>
      </c>
      <c r="H97" s="15"/>
      <c r="I97" s="15"/>
      <c r="J97" s="15"/>
      <c r="K97" s="15"/>
      <c r="L97" s="61"/>
      <c r="M97" s="49"/>
      <c r="P97" s="67">
        <v>620</v>
      </c>
    </row>
    <row r="98" spans="3:16" s="60" customFormat="1" ht="12.75" x14ac:dyDescent="0.2">
      <c r="C98" s="9"/>
      <c r="D98" s="99" t="s">
        <v>168</v>
      </c>
      <c r="E98" s="100"/>
      <c r="F98" s="100"/>
      <c r="G98" s="100"/>
      <c r="H98" s="100"/>
      <c r="I98" s="100"/>
      <c r="J98" s="100"/>
      <c r="K98" s="101"/>
      <c r="L98" s="61"/>
      <c r="M98" s="49"/>
      <c r="P98" s="68"/>
    </row>
    <row r="99" spans="3:16" s="60" customFormat="1" ht="12.75" x14ac:dyDescent="0.2">
      <c r="C99" s="9"/>
      <c r="D99" s="10" t="s">
        <v>169</v>
      </c>
      <c r="E99" s="11" t="s">
        <v>170</v>
      </c>
      <c r="F99" s="12" t="s">
        <v>171</v>
      </c>
      <c r="G99" s="13">
        <f t="shared" si="0"/>
        <v>0</v>
      </c>
      <c r="H99" s="13">
        <f>SUM(H100:H101)</f>
        <v>0</v>
      </c>
      <c r="I99" s="13">
        <f>SUM(I100:I101)</f>
        <v>0</v>
      </c>
      <c r="J99" s="13">
        <f>SUM(J100:J101)</f>
        <v>0</v>
      </c>
      <c r="K99" s="13">
        <f>SUM(K100:K101)</f>
        <v>0</v>
      </c>
      <c r="L99" s="61"/>
      <c r="M99" s="49"/>
      <c r="P99" s="67">
        <v>700</v>
      </c>
    </row>
    <row r="100" spans="3:16" ht="12.75" x14ac:dyDescent="0.2">
      <c r="C100" s="5"/>
      <c r="D100" s="39" t="s">
        <v>172</v>
      </c>
      <c r="E100" s="14" t="s">
        <v>173</v>
      </c>
      <c r="F100" s="12" t="s">
        <v>174</v>
      </c>
      <c r="G100" s="13">
        <f t="shared" si="0"/>
        <v>0</v>
      </c>
      <c r="H100" s="40"/>
      <c r="I100" s="40"/>
      <c r="J100" s="40"/>
      <c r="K100" s="40"/>
      <c r="L100" s="59"/>
      <c r="M100" s="49"/>
      <c r="P100" s="67">
        <v>710</v>
      </c>
    </row>
    <row r="101" spans="3:16" ht="12.75" x14ac:dyDescent="0.2">
      <c r="C101" s="5"/>
      <c r="D101" s="39" t="s">
        <v>175</v>
      </c>
      <c r="E101" s="14" t="s">
        <v>176</v>
      </c>
      <c r="F101" s="12" t="s">
        <v>177</v>
      </c>
      <c r="G101" s="13">
        <f t="shared" si="0"/>
        <v>0</v>
      </c>
      <c r="H101" s="41">
        <f>H104</f>
        <v>0</v>
      </c>
      <c r="I101" s="41">
        <f>I104</f>
        <v>0</v>
      </c>
      <c r="J101" s="41">
        <f>J104</f>
        <v>0</v>
      </c>
      <c r="K101" s="41">
        <f>K104</f>
        <v>0</v>
      </c>
      <c r="L101" s="59"/>
      <c r="M101" s="49"/>
      <c r="P101" s="67">
        <v>720</v>
      </c>
    </row>
    <row r="102" spans="3:16" ht="12.75" x14ac:dyDescent="0.2">
      <c r="C102" s="5"/>
      <c r="D102" s="39" t="s">
        <v>178</v>
      </c>
      <c r="E102" s="34" t="s">
        <v>179</v>
      </c>
      <c r="F102" s="12" t="s">
        <v>180</v>
      </c>
      <c r="G102" s="13">
        <f t="shared" si="0"/>
        <v>0</v>
      </c>
      <c r="H102" s="40"/>
      <c r="I102" s="40"/>
      <c r="J102" s="40"/>
      <c r="K102" s="40"/>
      <c r="L102" s="59"/>
      <c r="M102" s="49"/>
      <c r="P102" s="67">
        <v>730</v>
      </c>
    </row>
    <row r="103" spans="3:16" ht="12.75" x14ac:dyDescent="0.2">
      <c r="C103" s="5"/>
      <c r="D103" s="39" t="s">
        <v>181</v>
      </c>
      <c r="E103" s="35" t="s">
        <v>182</v>
      </c>
      <c r="F103" s="12" t="s">
        <v>183</v>
      </c>
      <c r="G103" s="13">
        <f t="shared" si="0"/>
        <v>0</v>
      </c>
      <c r="H103" s="40"/>
      <c r="I103" s="40"/>
      <c r="J103" s="40"/>
      <c r="K103" s="40"/>
      <c r="L103" s="59"/>
      <c r="M103" s="49"/>
      <c r="P103" s="67"/>
    </row>
    <row r="104" spans="3:16" ht="12.75" x14ac:dyDescent="0.2">
      <c r="C104" s="5"/>
      <c r="D104" s="39" t="s">
        <v>184</v>
      </c>
      <c r="E104" s="34" t="s">
        <v>185</v>
      </c>
      <c r="F104" s="12" t="s">
        <v>186</v>
      </c>
      <c r="G104" s="13">
        <f t="shared" si="0"/>
        <v>0</v>
      </c>
      <c r="H104" s="40"/>
      <c r="I104" s="40"/>
      <c r="J104" s="40"/>
      <c r="K104" s="40"/>
      <c r="L104" s="59"/>
      <c r="M104" s="49"/>
      <c r="P104" s="67">
        <v>740</v>
      </c>
    </row>
    <row r="105" spans="3:16" ht="12.75" x14ac:dyDescent="0.2">
      <c r="C105" s="5"/>
      <c r="D105" s="39" t="s">
        <v>187</v>
      </c>
      <c r="E105" s="11" t="s">
        <v>188</v>
      </c>
      <c r="F105" s="12" t="s">
        <v>189</v>
      </c>
      <c r="G105" s="13">
        <f t="shared" si="0"/>
        <v>0</v>
      </c>
      <c r="H105" s="41">
        <f>H106+H122</f>
        <v>0</v>
      </c>
      <c r="I105" s="41">
        <f>I106+I122</f>
        <v>0</v>
      </c>
      <c r="J105" s="41">
        <f>J106+J122</f>
        <v>0</v>
      </c>
      <c r="K105" s="41">
        <f>K106+K122</f>
        <v>0</v>
      </c>
      <c r="L105" s="59"/>
      <c r="M105" s="49"/>
      <c r="P105" s="67">
        <v>750</v>
      </c>
    </row>
    <row r="106" spans="3:16" ht="12.75" x14ac:dyDescent="0.2">
      <c r="C106" s="5"/>
      <c r="D106" s="39" t="s">
        <v>190</v>
      </c>
      <c r="E106" s="14" t="s">
        <v>191</v>
      </c>
      <c r="F106" s="12" t="s">
        <v>192</v>
      </c>
      <c r="G106" s="13">
        <f t="shared" si="0"/>
        <v>0</v>
      </c>
      <c r="H106" s="41">
        <f>H107+H108</f>
        <v>0</v>
      </c>
      <c r="I106" s="41">
        <f>I107+I108</f>
        <v>0</v>
      </c>
      <c r="J106" s="41">
        <f>J107+J108</f>
        <v>0</v>
      </c>
      <c r="K106" s="41">
        <f>K107+K108</f>
        <v>0</v>
      </c>
      <c r="L106" s="59"/>
      <c r="M106" s="49"/>
      <c r="P106" s="67">
        <v>760</v>
      </c>
    </row>
    <row r="107" spans="3:16" ht="12.75" x14ac:dyDescent="0.2">
      <c r="C107" s="5"/>
      <c r="D107" s="39" t="s">
        <v>193</v>
      </c>
      <c r="E107" s="34" t="s">
        <v>194</v>
      </c>
      <c r="F107" s="12" t="s">
        <v>195</v>
      </c>
      <c r="G107" s="13">
        <f t="shared" si="0"/>
        <v>0</v>
      </c>
      <c r="H107" s="40"/>
      <c r="I107" s="40"/>
      <c r="J107" s="40"/>
      <c r="K107" s="40"/>
      <c r="L107" s="59"/>
      <c r="M107" s="49"/>
      <c r="P107" s="67"/>
    </row>
    <row r="108" spans="3:16" ht="12.75" x14ac:dyDescent="0.2">
      <c r="C108" s="5"/>
      <c r="D108" s="39" t="s">
        <v>196</v>
      </c>
      <c r="E108" s="34" t="s">
        <v>197</v>
      </c>
      <c r="F108" s="12" t="s">
        <v>198</v>
      </c>
      <c r="G108" s="13">
        <f t="shared" si="0"/>
        <v>0</v>
      </c>
      <c r="H108" s="41">
        <f>H109+H112+H115+H118+H119+H120+H121</f>
        <v>0</v>
      </c>
      <c r="I108" s="41">
        <f>I109+I112+I115+I118+I119+I120+I121</f>
        <v>0</v>
      </c>
      <c r="J108" s="41">
        <f>J109+J112+J115+J118+J119+J120+J121</f>
        <v>0</v>
      </c>
      <c r="K108" s="41">
        <f>K109+K112+K115+K118+K119+K120+K121</f>
        <v>0</v>
      </c>
      <c r="L108" s="59"/>
      <c r="M108" s="49"/>
      <c r="P108" s="67"/>
    </row>
    <row r="109" spans="3:16" ht="45" x14ac:dyDescent="0.2">
      <c r="C109" s="5"/>
      <c r="D109" s="39" t="s">
        <v>199</v>
      </c>
      <c r="E109" s="35" t="s">
        <v>200</v>
      </c>
      <c r="F109" s="12" t="s">
        <v>201</v>
      </c>
      <c r="G109" s="13">
        <f t="shared" si="0"/>
        <v>0</v>
      </c>
      <c r="H109" s="42">
        <f>H110+H111</f>
        <v>0</v>
      </c>
      <c r="I109" s="42">
        <f>I110+I111</f>
        <v>0</v>
      </c>
      <c r="J109" s="42">
        <f>J110+J111</f>
        <v>0</v>
      </c>
      <c r="K109" s="42">
        <f>K110+K111</f>
        <v>0</v>
      </c>
      <c r="L109" s="59"/>
      <c r="M109" s="49"/>
      <c r="P109" s="67"/>
    </row>
    <row r="110" spans="3:16" ht="12.75" x14ac:dyDescent="0.2">
      <c r="C110" s="5"/>
      <c r="D110" s="39" t="s">
        <v>202</v>
      </c>
      <c r="E110" s="43" t="s">
        <v>203</v>
      </c>
      <c r="F110" s="12" t="s">
        <v>204</v>
      </c>
      <c r="G110" s="13">
        <f t="shared" si="0"/>
        <v>0</v>
      </c>
      <c r="H110" s="40"/>
      <c r="I110" s="40"/>
      <c r="J110" s="40"/>
      <c r="K110" s="40"/>
      <c r="L110" s="59"/>
      <c r="M110" s="49"/>
      <c r="P110" s="67"/>
    </row>
    <row r="111" spans="3:16" ht="12.75" x14ac:dyDescent="0.2">
      <c r="C111" s="5"/>
      <c r="D111" s="39" t="s">
        <v>205</v>
      </c>
      <c r="E111" s="43" t="s">
        <v>206</v>
      </c>
      <c r="F111" s="12" t="s">
        <v>207</v>
      </c>
      <c r="G111" s="13">
        <f t="shared" si="0"/>
        <v>0</v>
      </c>
      <c r="H111" s="40"/>
      <c r="I111" s="40"/>
      <c r="J111" s="40"/>
      <c r="K111" s="40"/>
      <c r="L111" s="59"/>
      <c r="M111" s="49"/>
      <c r="P111" s="67"/>
    </row>
    <row r="112" spans="3:16" ht="45" x14ac:dyDescent="0.2">
      <c r="C112" s="5"/>
      <c r="D112" s="39" t="s">
        <v>208</v>
      </c>
      <c r="E112" s="35" t="s">
        <v>209</v>
      </c>
      <c r="F112" s="12" t="s">
        <v>210</v>
      </c>
      <c r="G112" s="13">
        <f t="shared" si="0"/>
        <v>0</v>
      </c>
      <c r="H112" s="42">
        <f>H113+H114</f>
        <v>0</v>
      </c>
      <c r="I112" s="42">
        <f>I113+I114</f>
        <v>0</v>
      </c>
      <c r="J112" s="42">
        <f>J113+J114</f>
        <v>0</v>
      </c>
      <c r="K112" s="42">
        <f>K113+K114</f>
        <v>0</v>
      </c>
      <c r="L112" s="59"/>
      <c r="M112" s="49"/>
      <c r="P112" s="67"/>
    </row>
    <row r="113" spans="3:16" ht="12.75" x14ac:dyDescent="0.2">
      <c r="C113" s="5"/>
      <c r="D113" s="39" t="s">
        <v>211</v>
      </c>
      <c r="E113" s="43" t="s">
        <v>203</v>
      </c>
      <c r="F113" s="12" t="s">
        <v>212</v>
      </c>
      <c r="G113" s="13">
        <f t="shared" si="0"/>
        <v>0</v>
      </c>
      <c r="H113" s="40"/>
      <c r="I113" s="40"/>
      <c r="J113" s="40"/>
      <c r="K113" s="40"/>
      <c r="L113" s="59"/>
      <c r="M113" s="49"/>
      <c r="P113" s="67"/>
    </row>
    <row r="114" spans="3:16" ht="12.75" x14ac:dyDescent="0.2">
      <c r="C114" s="5"/>
      <c r="D114" s="39" t="s">
        <v>213</v>
      </c>
      <c r="E114" s="43" t="s">
        <v>206</v>
      </c>
      <c r="F114" s="12" t="s">
        <v>214</v>
      </c>
      <c r="G114" s="13">
        <f t="shared" si="0"/>
        <v>0</v>
      </c>
      <c r="H114" s="40"/>
      <c r="I114" s="40"/>
      <c r="J114" s="40"/>
      <c r="K114" s="40"/>
      <c r="L114" s="59"/>
      <c r="M114" s="49"/>
      <c r="P114" s="67"/>
    </row>
    <row r="115" spans="3:16" ht="22.5" x14ac:dyDescent="0.2">
      <c r="C115" s="5"/>
      <c r="D115" s="39" t="s">
        <v>215</v>
      </c>
      <c r="E115" s="35" t="s">
        <v>216</v>
      </c>
      <c r="F115" s="12" t="s">
        <v>217</v>
      </c>
      <c r="G115" s="13">
        <f t="shared" si="0"/>
        <v>0</v>
      </c>
      <c r="H115" s="42">
        <f>H116+H117</f>
        <v>0</v>
      </c>
      <c r="I115" s="42">
        <f>I116+I117</f>
        <v>0</v>
      </c>
      <c r="J115" s="42">
        <f>J116+J117</f>
        <v>0</v>
      </c>
      <c r="K115" s="42">
        <f>K116+K117</f>
        <v>0</v>
      </c>
      <c r="L115" s="59"/>
      <c r="M115" s="49"/>
      <c r="P115" s="67"/>
    </row>
    <row r="116" spans="3:16" ht="12.75" x14ac:dyDescent="0.2">
      <c r="C116" s="5"/>
      <c r="D116" s="39" t="s">
        <v>218</v>
      </c>
      <c r="E116" s="43" t="s">
        <v>203</v>
      </c>
      <c r="F116" s="12" t="s">
        <v>219</v>
      </c>
      <c r="G116" s="13">
        <f t="shared" si="0"/>
        <v>0</v>
      </c>
      <c r="H116" s="40"/>
      <c r="I116" s="40"/>
      <c r="J116" s="40"/>
      <c r="K116" s="40"/>
      <c r="L116" s="59"/>
      <c r="M116" s="49"/>
      <c r="P116" s="67"/>
    </row>
    <row r="117" spans="3:16" ht="12.75" x14ac:dyDescent="0.2">
      <c r="C117" s="5"/>
      <c r="D117" s="39" t="s">
        <v>220</v>
      </c>
      <c r="E117" s="43" t="s">
        <v>206</v>
      </c>
      <c r="F117" s="12" t="s">
        <v>221</v>
      </c>
      <c r="G117" s="13">
        <f t="shared" si="0"/>
        <v>0</v>
      </c>
      <c r="H117" s="40"/>
      <c r="I117" s="40"/>
      <c r="J117" s="40"/>
      <c r="K117" s="40"/>
      <c r="L117" s="59"/>
      <c r="M117" s="49"/>
      <c r="P117" s="67"/>
    </row>
    <row r="118" spans="3:16" ht="22.5" x14ac:dyDescent="0.2">
      <c r="C118" s="5"/>
      <c r="D118" s="39" t="s">
        <v>222</v>
      </c>
      <c r="E118" s="35" t="s">
        <v>223</v>
      </c>
      <c r="F118" s="12" t="s">
        <v>224</v>
      </c>
      <c r="G118" s="13">
        <f t="shared" si="0"/>
        <v>0</v>
      </c>
      <c r="H118" s="40"/>
      <c r="I118" s="40"/>
      <c r="J118" s="40"/>
      <c r="K118" s="40"/>
      <c r="L118" s="59"/>
      <c r="M118" s="49"/>
      <c r="P118" s="67"/>
    </row>
    <row r="119" spans="3:16" ht="12.75" x14ac:dyDescent="0.2">
      <c r="C119" s="5"/>
      <c r="D119" s="39" t="s">
        <v>225</v>
      </c>
      <c r="E119" s="35" t="s">
        <v>226</v>
      </c>
      <c r="F119" s="12" t="s">
        <v>227</v>
      </c>
      <c r="G119" s="13">
        <f t="shared" si="0"/>
        <v>0</v>
      </c>
      <c r="H119" s="40"/>
      <c r="I119" s="40"/>
      <c r="J119" s="40"/>
      <c r="K119" s="40"/>
      <c r="L119" s="59"/>
      <c r="M119" s="49"/>
      <c r="P119" s="67"/>
    </row>
    <row r="120" spans="3:16" ht="45" x14ac:dyDescent="0.2">
      <c r="C120" s="5"/>
      <c r="D120" s="39" t="s">
        <v>228</v>
      </c>
      <c r="E120" s="35" t="s">
        <v>229</v>
      </c>
      <c r="F120" s="12" t="s">
        <v>230</v>
      </c>
      <c r="G120" s="13">
        <f t="shared" si="0"/>
        <v>0</v>
      </c>
      <c r="H120" s="40"/>
      <c r="I120" s="40"/>
      <c r="J120" s="40"/>
      <c r="K120" s="40"/>
      <c r="L120" s="59"/>
      <c r="M120" s="49"/>
      <c r="P120" s="67"/>
    </row>
    <row r="121" spans="3:16" ht="22.5" x14ac:dyDescent="0.2">
      <c r="C121" s="5"/>
      <c r="D121" s="39" t="s">
        <v>231</v>
      </c>
      <c r="E121" s="35" t="s">
        <v>232</v>
      </c>
      <c r="F121" s="12" t="s">
        <v>233</v>
      </c>
      <c r="G121" s="13">
        <f t="shared" si="0"/>
        <v>0</v>
      </c>
      <c r="H121" s="40"/>
      <c r="I121" s="40"/>
      <c r="J121" s="40"/>
      <c r="K121" s="40"/>
      <c r="L121" s="59"/>
      <c r="M121" s="49"/>
      <c r="P121" s="67"/>
    </row>
    <row r="122" spans="3:16" ht="12.75" x14ac:dyDescent="0.2">
      <c r="C122" s="5"/>
      <c r="D122" s="39" t="s">
        <v>234</v>
      </c>
      <c r="E122" s="14" t="s">
        <v>235</v>
      </c>
      <c r="F122" s="12" t="s">
        <v>236</v>
      </c>
      <c r="G122" s="13">
        <f t="shared" si="0"/>
        <v>0</v>
      </c>
      <c r="H122" s="41">
        <f>H125</f>
        <v>0</v>
      </c>
      <c r="I122" s="41">
        <f>I125</f>
        <v>0</v>
      </c>
      <c r="J122" s="41">
        <f>J125</f>
        <v>0</v>
      </c>
      <c r="K122" s="41">
        <f>K125</f>
        <v>0</v>
      </c>
      <c r="L122" s="59"/>
      <c r="M122" s="49"/>
      <c r="P122" s="67">
        <v>770</v>
      </c>
    </row>
    <row r="123" spans="3:16" ht="12.75" x14ac:dyDescent="0.2">
      <c r="C123" s="5"/>
      <c r="D123" s="39" t="s">
        <v>237</v>
      </c>
      <c r="E123" s="34" t="s">
        <v>179</v>
      </c>
      <c r="F123" s="12" t="s">
        <v>238</v>
      </c>
      <c r="G123" s="13">
        <f t="shared" si="0"/>
        <v>0</v>
      </c>
      <c r="H123" s="40"/>
      <c r="I123" s="40"/>
      <c r="J123" s="40"/>
      <c r="K123" s="40"/>
      <c r="L123" s="59"/>
      <c r="M123" s="49"/>
      <c r="P123" s="67">
        <v>780</v>
      </c>
    </row>
    <row r="124" spans="3:16" ht="12.75" x14ac:dyDescent="0.2">
      <c r="C124" s="5"/>
      <c r="D124" s="39" t="s">
        <v>239</v>
      </c>
      <c r="E124" s="35" t="s">
        <v>240</v>
      </c>
      <c r="F124" s="12" t="s">
        <v>241</v>
      </c>
      <c r="G124" s="13">
        <f t="shared" si="0"/>
        <v>0</v>
      </c>
      <c r="H124" s="40"/>
      <c r="I124" s="40"/>
      <c r="J124" s="40"/>
      <c r="K124" s="40"/>
      <c r="L124" s="59"/>
      <c r="M124" s="49"/>
      <c r="P124" s="67"/>
    </row>
    <row r="125" spans="3:16" ht="12.75" x14ac:dyDescent="0.2">
      <c r="C125" s="5"/>
      <c r="D125" s="39" t="s">
        <v>242</v>
      </c>
      <c r="E125" s="34" t="s">
        <v>185</v>
      </c>
      <c r="F125" s="12" t="s">
        <v>243</v>
      </c>
      <c r="G125" s="13">
        <f t="shared" si="0"/>
        <v>0</v>
      </c>
      <c r="H125" s="40"/>
      <c r="I125" s="40"/>
      <c r="J125" s="40"/>
      <c r="K125" s="40"/>
      <c r="L125" s="59"/>
      <c r="M125" s="49"/>
      <c r="P125" s="67">
        <v>790</v>
      </c>
    </row>
    <row r="126" spans="3:16" ht="22.5" x14ac:dyDescent="0.2">
      <c r="C126" s="5"/>
      <c r="D126" s="39" t="s">
        <v>244</v>
      </c>
      <c r="E126" s="32" t="s">
        <v>245</v>
      </c>
      <c r="F126" s="12" t="s">
        <v>246</v>
      </c>
      <c r="G126" s="13">
        <f t="shared" si="0"/>
        <v>7655.0659999999998</v>
      </c>
      <c r="H126" s="41">
        <f>SUM(H127:H128)</f>
        <v>2E-3</v>
      </c>
      <c r="I126" s="41">
        <f>SUM(I127:I128)</f>
        <v>5217.58</v>
      </c>
      <c r="J126" s="41">
        <f>SUM(J127:J128)</f>
        <v>1519.0260000000001</v>
      </c>
      <c r="K126" s="41">
        <f>SUM(K127:K128)</f>
        <v>918.45799999999997</v>
      </c>
      <c r="L126" s="59"/>
      <c r="M126" s="49"/>
      <c r="P126" s="67"/>
    </row>
    <row r="127" spans="3:16" ht="12.75" x14ac:dyDescent="0.2">
      <c r="C127" s="5"/>
      <c r="D127" s="39" t="s">
        <v>247</v>
      </c>
      <c r="E127" s="14" t="s">
        <v>173</v>
      </c>
      <c r="F127" s="12" t="s">
        <v>248</v>
      </c>
      <c r="G127" s="13">
        <f t="shared" si="0"/>
        <v>0</v>
      </c>
      <c r="H127" s="40"/>
      <c r="I127" s="40"/>
      <c r="J127" s="40"/>
      <c r="K127" s="40"/>
      <c r="L127" s="59"/>
      <c r="M127" s="49"/>
      <c r="P127" s="67"/>
    </row>
    <row r="128" spans="3:16" ht="12.75" x14ac:dyDescent="0.2">
      <c r="C128" s="5"/>
      <c r="D128" s="39" t="s">
        <v>249</v>
      </c>
      <c r="E128" s="14" t="s">
        <v>176</v>
      </c>
      <c r="F128" s="12" t="s">
        <v>250</v>
      </c>
      <c r="G128" s="13">
        <f t="shared" si="0"/>
        <v>7655.0659999999998</v>
      </c>
      <c r="H128" s="41">
        <f>H130</f>
        <v>2E-3</v>
      </c>
      <c r="I128" s="41">
        <f>I130</f>
        <v>5217.58</v>
      </c>
      <c r="J128" s="41">
        <f>J130</f>
        <v>1519.0260000000001</v>
      </c>
      <c r="K128" s="41">
        <f>K130</f>
        <v>918.45799999999997</v>
      </c>
      <c r="L128" s="59"/>
      <c r="M128" s="49"/>
      <c r="P128" s="67"/>
    </row>
    <row r="129" spans="3:16" ht="12.75" x14ac:dyDescent="0.2">
      <c r="C129" s="5"/>
      <c r="D129" s="39" t="s">
        <v>251</v>
      </c>
      <c r="E129" s="34" t="s">
        <v>252</v>
      </c>
      <c r="F129" s="12" t="s">
        <v>253</v>
      </c>
      <c r="G129" s="13">
        <f t="shared" si="0"/>
        <v>44.622999999999998</v>
      </c>
      <c r="H129" s="40"/>
      <c r="I129" s="40">
        <v>44.622999999999998</v>
      </c>
      <c r="J129" s="40"/>
      <c r="K129" s="40"/>
      <c r="L129" s="59"/>
      <c r="M129" s="49"/>
      <c r="P129" s="67"/>
    </row>
    <row r="130" spans="3:16" ht="12.75" x14ac:dyDescent="0.2">
      <c r="C130" s="5"/>
      <c r="D130" s="39" t="s">
        <v>254</v>
      </c>
      <c r="E130" s="34" t="s">
        <v>185</v>
      </c>
      <c r="F130" s="12" t="s">
        <v>255</v>
      </c>
      <c r="G130" s="13">
        <f t="shared" si="0"/>
        <v>7655.0659999999998</v>
      </c>
      <c r="H130" s="40">
        <f>H49+H35</f>
        <v>2E-3</v>
      </c>
      <c r="I130" s="40">
        <f>I35+258.907</f>
        <v>5217.58</v>
      </c>
      <c r="J130" s="40">
        <f>J35+2.432</f>
        <v>1519.0260000000001</v>
      </c>
      <c r="K130" s="40">
        <f>K35</f>
        <v>918.45799999999997</v>
      </c>
      <c r="L130" s="59"/>
      <c r="M130" s="49"/>
      <c r="P130" s="67"/>
    </row>
    <row r="131" spans="3:16" ht="12.75" x14ac:dyDescent="0.2">
      <c r="C131" s="5"/>
      <c r="D131" s="99" t="s">
        <v>256</v>
      </c>
      <c r="E131" s="100"/>
      <c r="F131" s="100"/>
      <c r="G131" s="100"/>
      <c r="H131" s="100"/>
      <c r="I131" s="100"/>
      <c r="J131" s="100"/>
      <c r="K131" s="101"/>
      <c r="L131" s="59"/>
      <c r="M131" s="49"/>
      <c r="P131" s="71"/>
    </row>
    <row r="132" spans="3:16" ht="22.5" x14ac:dyDescent="0.2">
      <c r="C132" s="5"/>
      <c r="D132" s="39" t="s">
        <v>257</v>
      </c>
      <c r="E132" s="11" t="s">
        <v>258</v>
      </c>
      <c r="F132" s="12" t="s">
        <v>259</v>
      </c>
      <c r="G132" s="13">
        <f t="shared" si="0"/>
        <v>0</v>
      </c>
      <c r="H132" s="41">
        <f>SUM( H133:H134)</f>
        <v>0</v>
      </c>
      <c r="I132" s="41">
        <f>SUM( I133:I134)</f>
        <v>0</v>
      </c>
      <c r="J132" s="41">
        <f>SUM( J133:J134)</f>
        <v>0</v>
      </c>
      <c r="K132" s="41">
        <f>SUM( K133:K134)</f>
        <v>0</v>
      </c>
      <c r="L132" s="59"/>
      <c r="M132" s="49"/>
      <c r="P132" s="67">
        <v>800</v>
      </c>
    </row>
    <row r="133" spans="3:16" ht="12.75" x14ac:dyDescent="0.2">
      <c r="C133" s="5"/>
      <c r="D133" s="39" t="s">
        <v>260</v>
      </c>
      <c r="E133" s="14" t="s">
        <v>173</v>
      </c>
      <c r="F133" s="12" t="s">
        <v>261</v>
      </c>
      <c r="G133" s="13">
        <f t="shared" si="0"/>
        <v>0</v>
      </c>
      <c r="H133" s="40"/>
      <c r="I133" s="40"/>
      <c r="J133" s="40"/>
      <c r="K133" s="40"/>
      <c r="L133" s="59"/>
      <c r="M133" s="49"/>
      <c r="P133" s="67">
        <v>810</v>
      </c>
    </row>
    <row r="134" spans="3:16" ht="12.75" x14ac:dyDescent="0.2">
      <c r="C134" s="5"/>
      <c r="D134" s="39" t="s">
        <v>262</v>
      </c>
      <c r="E134" s="14" t="s">
        <v>176</v>
      </c>
      <c r="F134" s="12" t="s">
        <v>263</v>
      </c>
      <c r="G134" s="13">
        <f t="shared" si="0"/>
        <v>0</v>
      </c>
      <c r="H134" s="41">
        <f>H135+H137</f>
        <v>0</v>
      </c>
      <c r="I134" s="41">
        <f>I135+I137</f>
        <v>0</v>
      </c>
      <c r="J134" s="41">
        <f>J135+J137</f>
        <v>0</v>
      </c>
      <c r="K134" s="41">
        <f>K135+K137</f>
        <v>0</v>
      </c>
      <c r="L134" s="59"/>
      <c r="M134" s="49"/>
      <c r="P134" s="67">
        <v>820</v>
      </c>
    </row>
    <row r="135" spans="3:16" ht="12.75" x14ac:dyDescent="0.2">
      <c r="C135" s="5"/>
      <c r="D135" s="39" t="s">
        <v>264</v>
      </c>
      <c r="E135" s="34" t="s">
        <v>265</v>
      </c>
      <c r="F135" s="12" t="s">
        <v>266</v>
      </c>
      <c r="G135" s="13">
        <f t="shared" si="0"/>
        <v>0</v>
      </c>
      <c r="H135" s="40"/>
      <c r="I135" s="40"/>
      <c r="J135" s="40"/>
      <c r="K135" s="40"/>
      <c r="L135" s="59"/>
      <c r="M135" s="49"/>
      <c r="P135" s="67">
        <v>830</v>
      </c>
    </row>
    <row r="136" spans="3:16" ht="12.75" x14ac:dyDescent="0.2">
      <c r="C136" s="5"/>
      <c r="D136" s="39" t="s">
        <v>267</v>
      </c>
      <c r="E136" s="35" t="s">
        <v>268</v>
      </c>
      <c r="F136" s="12" t="s">
        <v>269</v>
      </c>
      <c r="G136" s="13">
        <f t="shared" si="0"/>
        <v>0</v>
      </c>
      <c r="H136" s="40"/>
      <c r="I136" s="40"/>
      <c r="J136" s="40"/>
      <c r="K136" s="40"/>
      <c r="L136" s="59"/>
      <c r="M136" s="49"/>
      <c r="P136" s="71"/>
    </row>
    <row r="137" spans="3:16" ht="12.75" x14ac:dyDescent="0.2">
      <c r="C137" s="5"/>
      <c r="D137" s="39" t="s">
        <v>270</v>
      </c>
      <c r="E137" s="34" t="s">
        <v>271</v>
      </c>
      <c r="F137" s="12" t="s">
        <v>272</v>
      </c>
      <c r="G137" s="13">
        <f t="shared" si="0"/>
        <v>0</v>
      </c>
      <c r="H137" s="40"/>
      <c r="I137" s="40"/>
      <c r="J137" s="40"/>
      <c r="K137" s="40"/>
      <c r="L137" s="59"/>
      <c r="M137" s="49"/>
      <c r="P137" s="67">
        <v>840</v>
      </c>
    </row>
    <row r="138" spans="3:16" ht="12.75" x14ac:dyDescent="0.2">
      <c r="C138" s="5"/>
      <c r="D138" s="39" t="s">
        <v>19</v>
      </c>
      <c r="E138" s="11" t="s">
        <v>273</v>
      </c>
      <c r="F138" s="12" t="s">
        <v>274</v>
      </c>
      <c r="G138" s="13">
        <f t="shared" si="0"/>
        <v>0</v>
      </c>
      <c r="H138" s="42">
        <f>SUM( H139+H144)</f>
        <v>0</v>
      </c>
      <c r="I138" s="42">
        <f>SUM( I139+I144)</f>
        <v>0</v>
      </c>
      <c r="J138" s="42">
        <f>SUM( J139+J144)</f>
        <v>0</v>
      </c>
      <c r="K138" s="42">
        <f>SUM( K139+K144)</f>
        <v>0</v>
      </c>
      <c r="L138" s="62"/>
      <c r="M138" s="49"/>
      <c r="P138" s="67">
        <v>850</v>
      </c>
    </row>
    <row r="139" spans="3:16" ht="12.75" x14ac:dyDescent="0.2">
      <c r="C139" s="5"/>
      <c r="D139" s="39" t="s">
        <v>275</v>
      </c>
      <c r="E139" s="14" t="s">
        <v>173</v>
      </c>
      <c r="F139" s="12" t="s">
        <v>276</v>
      </c>
      <c r="G139" s="13">
        <f t="shared" ref="G139:G152" si="1">SUM(H139:K139)</f>
        <v>0</v>
      </c>
      <c r="H139" s="42">
        <f>SUM( H140:H141)</f>
        <v>0</v>
      </c>
      <c r="I139" s="42">
        <f>SUM( I140:I141)</f>
        <v>0</v>
      </c>
      <c r="J139" s="42">
        <f>SUM( J140:J141)</f>
        <v>0</v>
      </c>
      <c r="K139" s="42">
        <f>SUM( K140:K141)</f>
        <v>0</v>
      </c>
      <c r="L139" s="62"/>
      <c r="M139" s="49"/>
      <c r="P139" s="67">
        <v>860</v>
      </c>
    </row>
    <row r="140" spans="3:16" ht="12.75" x14ac:dyDescent="0.2">
      <c r="C140" s="5"/>
      <c r="D140" s="39" t="s">
        <v>277</v>
      </c>
      <c r="E140" s="34" t="s">
        <v>194</v>
      </c>
      <c r="F140" s="12" t="s">
        <v>278</v>
      </c>
      <c r="G140" s="13">
        <f t="shared" si="1"/>
        <v>0</v>
      </c>
      <c r="H140" s="44"/>
      <c r="I140" s="44"/>
      <c r="J140" s="44"/>
      <c r="K140" s="44"/>
      <c r="L140" s="62"/>
      <c r="M140" s="49"/>
      <c r="P140" s="67"/>
    </row>
    <row r="141" spans="3:16" ht="12.75" x14ac:dyDescent="0.2">
      <c r="C141" s="5"/>
      <c r="D141" s="39" t="s">
        <v>279</v>
      </c>
      <c r="E141" s="34" t="s">
        <v>197</v>
      </c>
      <c r="F141" s="12" t="s">
        <v>280</v>
      </c>
      <c r="G141" s="13">
        <f t="shared" si="1"/>
        <v>0</v>
      </c>
      <c r="H141" s="42">
        <f>H142+H143</f>
        <v>0</v>
      </c>
      <c r="I141" s="42">
        <f>I142+I143</f>
        <v>0</v>
      </c>
      <c r="J141" s="42">
        <f>J142+J143</f>
        <v>0</v>
      </c>
      <c r="K141" s="42">
        <f>K142+K143</f>
        <v>0</v>
      </c>
      <c r="L141" s="62"/>
      <c r="M141" s="49"/>
      <c r="P141" s="67"/>
    </row>
    <row r="142" spans="3:16" ht="12.75" x14ac:dyDescent="0.2">
      <c r="C142" s="5"/>
      <c r="D142" s="39" t="s">
        <v>281</v>
      </c>
      <c r="E142" s="35" t="s">
        <v>203</v>
      </c>
      <c r="F142" s="12" t="s">
        <v>282</v>
      </c>
      <c r="G142" s="13">
        <f t="shared" si="1"/>
        <v>0</v>
      </c>
      <c r="H142" s="44"/>
      <c r="I142" s="44"/>
      <c r="J142" s="44"/>
      <c r="K142" s="44"/>
      <c r="L142" s="62"/>
      <c r="M142" s="49"/>
      <c r="P142" s="67"/>
    </row>
    <row r="143" spans="3:16" ht="12.75" x14ac:dyDescent="0.2">
      <c r="C143" s="5"/>
      <c r="D143" s="39" t="s">
        <v>283</v>
      </c>
      <c r="E143" s="35" t="s">
        <v>284</v>
      </c>
      <c r="F143" s="12" t="s">
        <v>285</v>
      </c>
      <c r="G143" s="13">
        <f t="shared" si="1"/>
        <v>0</v>
      </c>
      <c r="H143" s="44"/>
      <c r="I143" s="44"/>
      <c r="J143" s="44"/>
      <c r="K143" s="44"/>
      <c r="L143" s="62"/>
      <c r="M143" s="49"/>
      <c r="P143" s="67"/>
    </row>
    <row r="144" spans="3:16" ht="12.75" x14ac:dyDescent="0.2">
      <c r="C144" s="5"/>
      <c r="D144" s="39" t="s">
        <v>286</v>
      </c>
      <c r="E144" s="14" t="s">
        <v>235</v>
      </c>
      <c r="F144" s="12" t="s">
        <v>287</v>
      </c>
      <c r="G144" s="13">
        <f t="shared" si="1"/>
        <v>0</v>
      </c>
      <c r="H144" s="42">
        <f>H145+H147</f>
        <v>0</v>
      </c>
      <c r="I144" s="42">
        <f>I145+I147</f>
        <v>0</v>
      </c>
      <c r="J144" s="42">
        <f>J145+J147</f>
        <v>0</v>
      </c>
      <c r="K144" s="42">
        <f>K145+K147</f>
        <v>0</v>
      </c>
      <c r="L144" s="62"/>
      <c r="M144" s="49"/>
      <c r="P144" s="67">
        <v>870</v>
      </c>
    </row>
    <row r="145" spans="3:19" ht="12.75" x14ac:dyDescent="0.2">
      <c r="C145" s="5"/>
      <c r="D145" s="39" t="s">
        <v>288</v>
      </c>
      <c r="E145" s="34" t="s">
        <v>265</v>
      </c>
      <c r="F145" s="12" t="s">
        <v>289</v>
      </c>
      <c r="G145" s="13">
        <f t="shared" si="1"/>
        <v>0</v>
      </c>
      <c r="H145" s="40"/>
      <c r="I145" s="40"/>
      <c r="J145" s="40"/>
      <c r="K145" s="40"/>
      <c r="L145" s="62"/>
      <c r="M145" s="49"/>
      <c r="P145" s="67">
        <v>880</v>
      </c>
    </row>
    <row r="146" spans="3:19" ht="12.75" x14ac:dyDescent="0.2">
      <c r="C146" s="5"/>
      <c r="D146" s="39" t="s">
        <v>290</v>
      </c>
      <c r="E146" s="35" t="s">
        <v>268</v>
      </c>
      <c r="F146" s="12" t="s">
        <v>291</v>
      </c>
      <c r="G146" s="13">
        <f t="shared" si="1"/>
        <v>0</v>
      </c>
      <c r="H146" s="40"/>
      <c r="I146" s="40"/>
      <c r="J146" s="40"/>
      <c r="K146" s="40"/>
      <c r="L146" s="62"/>
      <c r="M146" s="49"/>
      <c r="P146" s="67"/>
    </row>
    <row r="147" spans="3:19" ht="12.75" x14ac:dyDescent="0.2">
      <c r="C147" s="5"/>
      <c r="D147" s="39" t="s">
        <v>292</v>
      </c>
      <c r="E147" s="34" t="s">
        <v>271</v>
      </c>
      <c r="F147" s="12" t="s">
        <v>293</v>
      </c>
      <c r="G147" s="13">
        <f t="shared" si="1"/>
        <v>0</v>
      </c>
      <c r="H147" s="45"/>
      <c r="I147" s="45"/>
      <c r="J147" s="45"/>
      <c r="K147" s="45"/>
      <c r="L147" s="62"/>
      <c r="M147" s="49"/>
      <c r="P147" s="67">
        <v>890</v>
      </c>
    </row>
    <row r="148" spans="3:19" ht="22.5" x14ac:dyDescent="0.2">
      <c r="C148" s="5"/>
      <c r="D148" s="39" t="s">
        <v>294</v>
      </c>
      <c r="E148" s="11" t="s">
        <v>295</v>
      </c>
      <c r="F148" s="12" t="s">
        <v>296</v>
      </c>
      <c r="G148" s="13">
        <f t="shared" si="1"/>
        <v>3830.6447480759998</v>
      </c>
      <c r="H148" s="46">
        <f>SUM( H149:H150)</f>
        <v>2.1227999999999999E-4</v>
      </c>
      <c r="I148" s="46">
        <f>SUM( I149:I150)</f>
        <v>3571.929984036</v>
      </c>
      <c r="J148" s="46">
        <f>SUM( J149:J150)</f>
        <v>161.22941964000003</v>
      </c>
      <c r="K148" s="46">
        <f>SUM( K149:K150)</f>
        <v>97.485132120000017</v>
      </c>
      <c r="L148" s="62"/>
      <c r="M148" s="49"/>
      <c r="P148" s="67">
        <v>900</v>
      </c>
    </row>
    <row r="149" spans="3:19" ht="12.75" x14ac:dyDescent="0.2">
      <c r="C149" s="5"/>
      <c r="D149" s="39" t="s">
        <v>297</v>
      </c>
      <c r="E149" s="14" t="s">
        <v>173</v>
      </c>
      <c r="F149" s="12" t="s">
        <v>298</v>
      </c>
      <c r="G149" s="13">
        <f t="shared" si="1"/>
        <v>0</v>
      </c>
      <c r="H149" s="45"/>
      <c r="I149" s="45"/>
      <c r="J149" s="45"/>
      <c r="K149" s="45"/>
      <c r="L149" s="62"/>
      <c r="M149" s="49"/>
      <c r="P149" s="67"/>
    </row>
    <row r="150" spans="3:19" ht="12.75" x14ac:dyDescent="0.2">
      <c r="C150" s="5"/>
      <c r="D150" s="39" t="s">
        <v>299</v>
      </c>
      <c r="E150" s="14" t="s">
        <v>176</v>
      </c>
      <c r="F150" s="12" t="s">
        <v>300</v>
      </c>
      <c r="G150" s="13">
        <f t="shared" si="1"/>
        <v>3830.6447480759998</v>
      </c>
      <c r="H150" s="46">
        <f>H151+H152</f>
        <v>2.1227999999999999E-4</v>
      </c>
      <c r="I150" s="46">
        <f>I151+I152</f>
        <v>3571.929984036</v>
      </c>
      <c r="J150" s="46">
        <f>J151+J152</f>
        <v>161.22941964000003</v>
      </c>
      <c r="K150" s="46">
        <f>K151+K152</f>
        <v>97.485132120000017</v>
      </c>
      <c r="L150" s="62"/>
      <c r="M150" s="49"/>
      <c r="P150" s="67"/>
    </row>
    <row r="151" spans="3:19" ht="12.75" x14ac:dyDescent="0.2">
      <c r="C151" s="5"/>
      <c r="D151" s="39" t="s">
        <v>301</v>
      </c>
      <c r="E151" s="34" t="s">
        <v>302</v>
      </c>
      <c r="F151" s="12" t="s">
        <v>303</v>
      </c>
      <c r="G151" s="13">
        <f t="shared" si="1"/>
        <v>3018.1360428359999</v>
      </c>
      <c r="H151" s="45"/>
      <c r="I151" s="45">
        <f>I129*56363.61/1000*1.2</f>
        <v>3018.1360428359999</v>
      </c>
      <c r="J151" s="45"/>
      <c r="K151" s="45"/>
      <c r="L151" s="62"/>
      <c r="M151" s="49"/>
      <c r="P151" s="67" t="s">
        <v>333</v>
      </c>
    </row>
    <row r="152" spans="3:19" ht="12.75" x14ac:dyDescent="0.2">
      <c r="C152" s="5"/>
      <c r="D152" s="39" t="s">
        <v>304</v>
      </c>
      <c r="E152" s="34" t="s">
        <v>271</v>
      </c>
      <c r="F152" s="12" t="s">
        <v>305</v>
      </c>
      <c r="G152" s="13">
        <f t="shared" si="1"/>
        <v>812.50870524000004</v>
      </c>
      <c r="H152" s="74">
        <f>H130*88.45/1000*1.2</f>
        <v>2.1227999999999999E-4</v>
      </c>
      <c r="I152" s="45">
        <f>I130*88.45/1000*1.2</f>
        <v>553.79394119999995</v>
      </c>
      <c r="J152" s="45">
        <f>J130*88.45/1000*1.2</f>
        <v>161.22941964000003</v>
      </c>
      <c r="K152" s="45">
        <f>K130*88.45/1000*1.2</f>
        <v>97.485132120000017</v>
      </c>
      <c r="L152" s="62"/>
      <c r="M152" s="49"/>
      <c r="P152" s="67" t="s">
        <v>334</v>
      </c>
    </row>
    <row r="153" spans="3:19" x14ac:dyDescent="0.25">
      <c r="D153" s="4"/>
      <c r="E153" s="47"/>
      <c r="F153" s="47"/>
      <c r="G153" s="47"/>
      <c r="H153" s="47"/>
      <c r="I153" s="47"/>
      <c r="J153" s="47"/>
      <c r="K153" s="48"/>
      <c r="L153" s="48"/>
      <c r="M153" s="48"/>
      <c r="N153" s="48"/>
      <c r="O153" s="48"/>
      <c r="P153" s="48"/>
      <c r="Q153" s="48"/>
      <c r="R153" s="63"/>
      <c r="S153" s="63"/>
    </row>
    <row r="154" spans="3:19" ht="12.75" x14ac:dyDescent="0.2">
      <c r="E154" s="49" t="s">
        <v>306</v>
      </c>
      <c r="F154" s="108" t="str">
        <f>IF([1]Титульный!G45="","",[1]Титульный!G45)</f>
        <v>экономист</v>
      </c>
      <c r="G154" s="108"/>
      <c r="H154" s="50"/>
      <c r="I154" s="108" t="str">
        <f>IF([1]Титульный!G44="","",[1]Титульный!G44)</f>
        <v>Кривнева Е. В.</v>
      </c>
      <c r="J154" s="108"/>
      <c r="K154" s="108"/>
      <c r="L154" s="50"/>
      <c r="M154" s="72"/>
      <c r="N154" s="72"/>
      <c r="O154" s="52"/>
      <c r="P154" s="48"/>
      <c r="Q154" s="48"/>
      <c r="R154" s="63"/>
      <c r="S154" s="63"/>
    </row>
    <row r="155" spans="3:19" ht="12.75" x14ac:dyDescent="0.2">
      <c r="E155" s="51" t="s">
        <v>307</v>
      </c>
      <c r="F155" s="109" t="s">
        <v>308</v>
      </c>
      <c r="G155" s="109"/>
      <c r="H155" s="52"/>
      <c r="I155" s="109" t="s">
        <v>309</v>
      </c>
      <c r="J155" s="109"/>
      <c r="K155" s="109"/>
      <c r="L155" s="52"/>
      <c r="M155" s="109" t="s">
        <v>335</v>
      </c>
      <c r="N155" s="109"/>
      <c r="O155" s="49"/>
      <c r="P155" s="48"/>
      <c r="Q155" s="48"/>
      <c r="R155" s="63"/>
      <c r="S155" s="63"/>
    </row>
    <row r="156" spans="3:19" ht="12.75" x14ac:dyDescent="0.2">
      <c r="E156" s="51" t="s">
        <v>310</v>
      </c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8"/>
      <c r="Q156" s="48"/>
      <c r="R156" s="63"/>
      <c r="S156" s="63"/>
    </row>
    <row r="157" spans="3:19" ht="12.75" x14ac:dyDescent="0.2">
      <c r="E157" s="51" t="s">
        <v>311</v>
      </c>
      <c r="F157" s="108" t="str">
        <f>IF([1]Титульный!G46="","",[1]Титульный!G46)</f>
        <v>(861) 258-50-71</v>
      </c>
      <c r="G157" s="108"/>
      <c r="H157" s="108"/>
      <c r="I157" s="49"/>
      <c r="J157" s="51" t="s">
        <v>312</v>
      </c>
      <c r="K157" s="64"/>
      <c r="L157" s="49"/>
      <c r="M157" s="49"/>
      <c r="N157" s="49"/>
      <c r="O157" s="49"/>
      <c r="P157" s="48"/>
      <c r="Q157" s="48"/>
      <c r="R157" s="63"/>
      <c r="S157" s="63"/>
    </row>
    <row r="158" spans="3:19" ht="12.75" x14ac:dyDescent="0.2">
      <c r="E158" s="49" t="s">
        <v>313</v>
      </c>
      <c r="F158" s="110" t="s">
        <v>314</v>
      </c>
      <c r="G158" s="110"/>
      <c r="H158" s="110"/>
      <c r="I158" s="49"/>
      <c r="J158" s="53" t="s">
        <v>315</v>
      </c>
      <c r="K158" s="53"/>
      <c r="L158" s="49"/>
      <c r="M158" s="49"/>
      <c r="N158" s="49"/>
      <c r="O158" s="49"/>
      <c r="P158" s="48"/>
      <c r="Q158" s="48"/>
      <c r="R158" s="63"/>
      <c r="S158" s="63"/>
    </row>
    <row r="159" spans="3:19" x14ac:dyDescent="0.25"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63"/>
      <c r="S159" s="63"/>
    </row>
    <row r="160" spans="3:19" x14ac:dyDescent="0.25"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63"/>
      <c r="S160" s="63"/>
    </row>
    <row r="161" spans="5:19" x14ac:dyDescent="0.25"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63"/>
      <c r="S161" s="63"/>
    </row>
    <row r="162" spans="5:19" x14ac:dyDescent="0.25"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63"/>
      <c r="S162" s="63"/>
    </row>
    <row r="163" spans="5:19" x14ac:dyDescent="0.25"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63"/>
      <c r="S163" s="63"/>
    </row>
    <row r="164" spans="5:19" x14ac:dyDescent="0.25"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63"/>
      <c r="S164" s="63"/>
    </row>
    <row r="165" spans="5:19" x14ac:dyDescent="0.25"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63"/>
      <c r="S165" s="63"/>
    </row>
    <row r="166" spans="5:19" x14ac:dyDescent="0.25"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63"/>
      <c r="S166" s="63"/>
    </row>
    <row r="167" spans="5:19" x14ac:dyDescent="0.25"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63"/>
      <c r="S167" s="63"/>
    </row>
    <row r="168" spans="5:19" x14ac:dyDescent="0.25"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63"/>
      <c r="S168" s="63"/>
    </row>
    <row r="169" spans="5:19" x14ac:dyDescent="0.25"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63"/>
      <c r="S169" s="63"/>
    </row>
    <row r="170" spans="5:19" x14ac:dyDescent="0.25"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63"/>
      <c r="S170" s="63"/>
    </row>
    <row r="171" spans="5:19" x14ac:dyDescent="0.25"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63"/>
      <c r="S171" s="63"/>
    </row>
    <row r="172" spans="5:19" x14ac:dyDescent="0.25"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63"/>
      <c r="S172" s="63"/>
    </row>
    <row r="173" spans="5:19" x14ac:dyDescent="0.25"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63"/>
      <c r="S173" s="63"/>
    </row>
    <row r="174" spans="5:19" x14ac:dyDescent="0.25"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63"/>
      <c r="S174" s="63"/>
    </row>
    <row r="175" spans="5:19" x14ac:dyDescent="0.25"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63"/>
      <c r="S175" s="63"/>
    </row>
    <row r="176" spans="5:19" x14ac:dyDescent="0.25"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63"/>
      <c r="S176" s="63"/>
    </row>
    <row r="177" spans="5:19" x14ac:dyDescent="0.25"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63"/>
      <c r="S177" s="63"/>
    </row>
    <row r="178" spans="5:19" x14ac:dyDescent="0.25"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63"/>
      <c r="S178" s="63"/>
    </row>
    <row r="179" spans="5:19" x14ac:dyDescent="0.25"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63"/>
      <c r="S179" s="63"/>
    </row>
    <row r="180" spans="5:19" x14ac:dyDescent="0.25"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63"/>
      <c r="S180" s="63"/>
    </row>
    <row r="181" spans="5:19" x14ac:dyDescent="0.25"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63"/>
      <c r="S181" s="63"/>
    </row>
    <row r="182" spans="5:19" x14ac:dyDescent="0.25"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63"/>
      <c r="S182" s="63"/>
    </row>
    <row r="183" spans="5:19" x14ac:dyDescent="0.25"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63"/>
      <c r="S183" s="63"/>
    </row>
    <row r="184" spans="5:19" x14ac:dyDescent="0.25"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5:19" x14ac:dyDescent="0.25"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5:19" x14ac:dyDescent="0.25"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5:19" x14ac:dyDescent="0.25"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</sheetData>
  <mergeCells count="18">
    <mergeCell ref="F155:G155"/>
    <mergeCell ref="I155:K155"/>
    <mergeCell ref="M155:N155"/>
    <mergeCell ref="F157:H157"/>
    <mergeCell ref="F158:H158"/>
    <mergeCell ref="D94:K94"/>
    <mergeCell ref="D98:K98"/>
    <mergeCell ref="D131:K131"/>
    <mergeCell ref="F154:G154"/>
    <mergeCell ref="I154:K154"/>
    <mergeCell ref="D54:K54"/>
    <mergeCell ref="H11:K11"/>
    <mergeCell ref="D14:K14"/>
    <mergeCell ref="D8:E8"/>
    <mergeCell ref="D11:D12"/>
    <mergeCell ref="E11:E12"/>
    <mergeCell ref="F11:F12"/>
    <mergeCell ref="G11:G12"/>
  </mergeCells>
  <dataValidations count="2">
    <dataValidation allowBlank="1" showInputMessage="1" promptTitle="Ввод" prompt="Для выбора организации необходимо два раза нажать левую клавишу мыши!" sqref="E59 E43 E26:E27 E83 E19 E66:E67"/>
    <dataValidation type="decimal" allowBlank="1" showErrorMessage="1" errorTitle="Ошибка" error="Допускается ввод только действительных чисел!" sqref="G55:K59 G95:K97 G69:K83 G15:K19 G85:K93 G99:K130 G24:K27 G45:K53 G29:K43 G132:K152 G61:K62 G21:K22 G64:K67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85"/>
  <sheetViews>
    <sheetView topLeftCell="C7" workbookViewId="0">
      <selection activeCell="G29" sqref="G29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 x14ac:dyDescent="0.25">
      <c r="S1" s="54"/>
      <c r="T1" s="54"/>
      <c r="U1" s="54"/>
      <c r="V1" s="54"/>
      <c r="Y1" s="54"/>
      <c r="AA1" s="54"/>
      <c r="AN1" s="54"/>
      <c r="AO1" s="54"/>
      <c r="AP1" s="54"/>
      <c r="BC1" s="54"/>
      <c r="BF1" s="54"/>
      <c r="BG1" s="54"/>
      <c r="BI1" s="54"/>
      <c r="BM1" s="54"/>
      <c r="BO1" s="54"/>
      <c r="BX1" s="54"/>
      <c r="BY1" s="54"/>
      <c r="CC1" s="54"/>
    </row>
    <row r="2" spans="1:81" hidden="1" x14ac:dyDescent="0.25"/>
    <row r="3" spans="1:81" hidden="1" x14ac:dyDescent="0.25"/>
    <row r="4" spans="1:81" hidden="1" x14ac:dyDescent="0.25">
      <c r="A4" s="55"/>
      <c r="F4" s="56"/>
      <c r="G4" s="56"/>
      <c r="H4" s="56"/>
      <c r="I4" s="56"/>
      <c r="J4" s="56"/>
      <c r="K4" s="56"/>
      <c r="M4" s="56"/>
      <c r="N4" s="56"/>
      <c r="O4" s="56"/>
      <c r="P4" s="56"/>
      <c r="Q4" s="56"/>
    </row>
    <row r="5" spans="1:81" hidden="1" x14ac:dyDescent="0.25">
      <c r="A5" s="57"/>
      <c r="F5" s="1" t="s">
        <v>316</v>
      </c>
      <c r="G5" s="1" t="s">
        <v>317</v>
      </c>
      <c r="H5" s="1" t="s">
        <v>318</v>
      </c>
      <c r="I5" s="1" t="s">
        <v>319</v>
      </c>
      <c r="J5" s="1" t="s">
        <v>320</v>
      </c>
      <c r="K5" s="1" t="s">
        <v>321</v>
      </c>
      <c r="L5" s="1" t="s">
        <v>322</v>
      </c>
      <c r="M5" s="1" t="s">
        <v>323</v>
      </c>
      <c r="N5" s="1" t="s">
        <v>323</v>
      </c>
      <c r="O5" s="1" t="s">
        <v>324</v>
      </c>
      <c r="P5" s="1" t="s">
        <v>325</v>
      </c>
      <c r="Q5" s="1" t="s">
        <v>326</v>
      </c>
    </row>
    <row r="6" spans="1:81" hidden="1" x14ac:dyDescent="0.25">
      <c r="A6" s="57"/>
    </row>
    <row r="7" spans="1:81" ht="12" customHeight="1" x14ac:dyDescent="0.25">
      <c r="A7" s="57"/>
      <c r="D7" s="5"/>
      <c r="E7" s="5"/>
      <c r="F7" s="5"/>
      <c r="G7" s="5"/>
      <c r="H7" s="5"/>
      <c r="I7" s="5"/>
      <c r="J7" s="5"/>
      <c r="K7" s="58"/>
      <c r="Q7" s="66"/>
    </row>
    <row r="8" spans="1:81" ht="22.5" customHeight="1" x14ac:dyDescent="0.25">
      <c r="A8" s="57"/>
      <c r="D8" s="104" t="s">
        <v>0</v>
      </c>
      <c r="E8" s="10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81" x14ac:dyDescent="0.25">
      <c r="A9" s="57"/>
      <c r="D9" s="3" t="s">
        <v>349</v>
      </c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81" ht="12" customHeight="1" x14ac:dyDescent="0.25">
      <c r="D10" s="4"/>
      <c r="E10" s="4"/>
      <c r="F10" s="5"/>
      <c r="G10" s="5"/>
      <c r="H10" s="5"/>
      <c r="I10" s="5"/>
      <c r="K10" s="6" t="s">
        <v>1</v>
      </c>
    </row>
    <row r="11" spans="1:81" ht="15" customHeight="1" x14ac:dyDescent="0.25">
      <c r="C11" s="5"/>
      <c r="D11" s="105" t="s">
        <v>2</v>
      </c>
      <c r="E11" s="102" t="s">
        <v>3</v>
      </c>
      <c r="F11" s="102" t="s">
        <v>4</v>
      </c>
      <c r="G11" s="102" t="s">
        <v>5</v>
      </c>
      <c r="H11" s="102" t="s">
        <v>6</v>
      </c>
      <c r="I11" s="102"/>
      <c r="J11" s="102"/>
      <c r="K11" s="103"/>
      <c r="L11" s="59"/>
    </row>
    <row r="12" spans="1:81" ht="15" customHeight="1" x14ac:dyDescent="0.25">
      <c r="C12" s="5"/>
      <c r="D12" s="106"/>
      <c r="E12" s="107"/>
      <c r="F12" s="107"/>
      <c r="G12" s="107"/>
      <c r="H12" s="93" t="s">
        <v>7</v>
      </c>
      <c r="I12" s="93" t="s">
        <v>8</v>
      </c>
      <c r="J12" s="93" t="s">
        <v>9</v>
      </c>
      <c r="K12" s="7" t="s">
        <v>10</v>
      </c>
      <c r="L12" s="59"/>
    </row>
    <row r="13" spans="1:81" ht="12" customHeight="1" x14ac:dyDescent="0.25">
      <c r="D13" s="8">
        <v>0</v>
      </c>
      <c r="E13" s="8">
        <v>1</v>
      </c>
      <c r="F13" s="8">
        <v>2</v>
      </c>
      <c r="G13" s="8">
        <v>3</v>
      </c>
      <c r="H13" s="8">
        <v>4</v>
      </c>
      <c r="I13" s="8">
        <v>5</v>
      </c>
      <c r="J13" s="8">
        <v>6</v>
      </c>
      <c r="K13" s="8">
        <v>7</v>
      </c>
    </row>
    <row r="14" spans="1:81" s="60" customFormat="1" ht="15" customHeight="1" x14ac:dyDescent="0.25">
      <c r="C14" s="9"/>
      <c r="D14" s="99" t="s">
        <v>11</v>
      </c>
      <c r="E14" s="100"/>
      <c r="F14" s="100"/>
      <c r="G14" s="100"/>
      <c r="H14" s="100"/>
      <c r="I14" s="100"/>
      <c r="J14" s="100"/>
      <c r="K14" s="101"/>
      <c r="L14" s="61"/>
    </row>
    <row r="15" spans="1:81" s="60" customFormat="1" ht="15" customHeight="1" x14ac:dyDescent="0.2">
      <c r="C15" s="9"/>
      <c r="D15" s="10" t="s">
        <v>12</v>
      </c>
      <c r="E15" s="11" t="s">
        <v>13</v>
      </c>
      <c r="F15" s="12">
        <v>10</v>
      </c>
      <c r="G15" s="13">
        <f>SUM(H15:K15)</f>
        <v>6452.8330000000005</v>
      </c>
      <c r="H15" s="13">
        <f>H16+H17+H20+H23</f>
        <v>868.29100000000005</v>
      </c>
      <c r="I15" s="13">
        <f>I16+I17+I20+I23</f>
        <v>4849.9009999999998</v>
      </c>
      <c r="J15" s="13">
        <f>J16+J17+J20+J23</f>
        <v>734.64100000000008</v>
      </c>
      <c r="K15" s="13">
        <f>K16+K17+K20+K23</f>
        <v>0</v>
      </c>
      <c r="L15" s="61"/>
      <c r="M15" s="49"/>
      <c r="P15" s="67">
        <v>10</v>
      </c>
    </row>
    <row r="16" spans="1:81" s="60" customFormat="1" ht="15" customHeight="1" x14ac:dyDescent="0.2">
      <c r="C16" s="9"/>
      <c r="D16" s="10" t="s">
        <v>14</v>
      </c>
      <c r="E16" s="14" t="s">
        <v>15</v>
      </c>
      <c r="F16" s="12">
        <v>20</v>
      </c>
      <c r="G16" s="13">
        <f t="shared" ref="G16:G136" si="0">SUM(H16:K16)</f>
        <v>0</v>
      </c>
      <c r="H16" s="15"/>
      <c r="I16" s="15"/>
      <c r="J16" s="15"/>
      <c r="K16" s="15"/>
      <c r="L16" s="61"/>
      <c r="M16" s="49"/>
      <c r="P16" s="67">
        <v>20</v>
      </c>
    </row>
    <row r="17" spans="3:16" s="60" customFormat="1" ht="12.75" x14ac:dyDescent="0.2">
      <c r="C17" s="9"/>
      <c r="D17" s="10" t="s">
        <v>16</v>
      </c>
      <c r="E17" s="14" t="s">
        <v>17</v>
      </c>
      <c r="F17" s="12">
        <v>30</v>
      </c>
      <c r="G17" s="13">
        <f t="shared" si="0"/>
        <v>0</v>
      </c>
      <c r="H17" s="13">
        <f>SUM(H18:H19)</f>
        <v>0</v>
      </c>
      <c r="I17" s="13">
        <f>SUM(I18:I19)</f>
        <v>0</v>
      </c>
      <c r="J17" s="13">
        <f>SUM(J18:J19)</f>
        <v>0</v>
      </c>
      <c r="K17" s="13">
        <f>SUM(K18:K19)</f>
        <v>0</v>
      </c>
      <c r="L17" s="61"/>
      <c r="M17" s="49"/>
      <c r="P17" s="67">
        <v>30</v>
      </c>
    </row>
    <row r="18" spans="3:16" s="60" customFormat="1" ht="12.75" x14ac:dyDescent="0.2">
      <c r="C18" s="9"/>
      <c r="D18" s="16" t="s">
        <v>18</v>
      </c>
      <c r="E18" s="17"/>
      <c r="F18" s="18" t="s">
        <v>19</v>
      </c>
      <c r="G18" s="19"/>
      <c r="H18" s="19"/>
      <c r="I18" s="19"/>
      <c r="J18" s="19"/>
      <c r="K18" s="19"/>
      <c r="L18" s="61"/>
      <c r="M18" s="49"/>
      <c r="P18" s="67"/>
    </row>
    <row r="19" spans="3:16" s="60" customFormat="1" ht="12.75" x14ac:dyDescent="0.2">
      <c r="C19" s="9"/>
      <c r="D19" s="20"/>
      <c r="E19" s="21" t="s">
        <v>20</v>
      </c>
      <c r="F19" s="22"/>
      <c r="G19" s="22"/>
      <c r="H19" s="22"/>
      <c r="I19" s="22"/>
      <c r="J19" s="22"/>
      <c r="K19" s="23"/>
      <c r="L19" s="61"/>
      <c r="M19" s="49"/>
      <c r="P19" s="68"/>
    </row>
    <row r="20" spans="3:16" s="60" customFormat="1" ht="12.75" x14ac:dyDescent="0.2">
      <c r="C20" s="9"/>
      <c r="D20" s="10" t="s">
        <v>21</v>
      </c>
      <c r="E20" s="14" t="s">
        <v>22</v>
      </c>
      <c r="F20" s="12" t="s">
        <v>23</v>
      </c>
      <c r="G20" s="13">
        <f t="shared" si="0"/>
        <v>0</v>
      </c>
      <c r="H20" s="13">
        <f>SUM(H21:H22)</f>
        <v>0</v>
      </c>
      <c r="I20" s="13">
        <f>SUM(I21:I22)</f>
        <v>0</v>
      </c>
      <c r="J20" s="13">
        <f>SUM(J21:J22)</f>
        <v>0</v>
      </c>
      <c r="K20" s="13">
        <f>SUM(K21:K22)</f>
        <v>0</v>
      </c>
      <c r="L20" s="61"/>
      <c r="M20" s="49"/>
      <c r="P20" s="68"/>
    </row>
    <row r="21" spans="3:16" s="60" customFormat="1" ht="12.75" x14ac:dyDescent="0.2">
      <c r="C21" s="9"/>
      <c r="D21" s="16" t="s">
        <v>24</v>
      </c>
      <c r="E21" s="17"/>
      <c r="F21" s="18" t="s">
        <v>23</v>
      </c>
      <c r="G21" s="19"/>
      <c r="H21" s="19"/>
      <c r="I21" s="19"/>
      <c r="J21" s="19"/>
      <c r="K21" s="19"/>
      <c r="L21" s="61"/>
      <c r="M21" s="49"/>
      <c r="P21" s="67"/>
    </row>
    <row r="22" spans="3:16" s="60" customFormat="1" ht="12.75" x14ac:dyDescent="0.2">
      <c r="C22" s="9"/>
      <c r="D22" s="20"/>
      <c r="E22" s="21" t="s">
        <v>20</v>
      </c>
      <c r="F22" s="22"/>
      <c r="G22" s="22"/>
      <c r="H22" s="22"/>
      <c r="I22" s="22"/>
      <c r="J22" s="22"/>
      <c r="K22" s="23"/>
      <c r="L22" s="61"/>
      <c r="M22" s="49"/>
      <c r="P22" s="68"/>
    </row>
    <row r="23" spans="3:16" s="60" customFormat="1" ht="12.75" x14ac:dyDescent="0.2">
      <c r="C23" s="9"/>
      <c r="D23" s="10" t="s">
        <v>25</v>
      </c>
      <c r="E23" s="14" t="s">
        <v>26</v>
      </c>
      <c r="F23" s="12" t="s">
        <v>27</v>
      </c>
      <c r="G23" s="13">
        <f t="shared" si="0"/>
        <v>6452.8330000000005</v>
      </c>
      <c r="H23" s="13">
        <f>SUM(H24:H27)</f>
        <v>868.29100000000005</v>
      </c>
      <c r="I23" s="13">
        <f>SUM(I24:I27)</f>
        <v>4849.9009999999998</v>
      </c>
      <c r="J23" s="13">
        <f>SUM(J24:J27)</f>
        <v>734.64100000000008</v>
      </c>
      <c r="K23" s="13">
        <f>SUM(K24:K27)</f>
        <v>0</v>
      </c>
      <c r="L23" s="61"/>
      <c r="M23" s="49"/>
      <c r="P23" s="67">
        <v>40</v>
      </c>
    </row>
    <row r="24" spans="3:16" s="60" customFormat="1" ht="12.75" x14ac:dyDescent="0.2">
      <c r="C24" s="9"/>
      <c r="D24" s="16" t="s">
        <v>28</v>
      </c>
      <c r="E24" s="17"/>
      <c r="F24" s="18" t="s">
        <v>27</v>
      </c>
      <c r="G24" s="19"/>
      <c r="H24" s="19"/>
      <c r="I24" s="19"/>
      <c r="J24" s="19"/>
      <c r="K24" s="19"/>
      <c r="L24" s="61"/>
      <c r="M24" s="49"/>
      <c r="P24" s="67"/>
    </row>
    <row r="25" spans="3:16" s="60" customFormat="1" ht="15" x14ac:dyDescent="0.25">
      <c r="C25" s="24" t="s">
        <v>29</v>
      </c>
      <c r="D25" s="25" t="s">
        <v>30</v>
      </c>
      <c r="E25" s="26" t="s">
        <v>344</v>
      </c>
      <c r="F25" s="27">
        <v>431</v>
      </c>
      <c r="G25" s="28">
        <f>SUM(H25:K25)</f>
        <v>6114.4650000000001</v>
      </c>
      <c r="H25" s="29">
        <v>868.29100000000005</v>
      </c>
      <c r="I25" s="29">
        <v>4849.9009999999998</v>
      </c>
      <c r="J25" s="29">
        <f>396.237+0.036</f>
        <v>396.27300000000002</v>
      </c>
      <c r="K25" s="30"/>
      <c r="L25" s="61"/>
      <c r="M25" s="69" t="s">
        <v>327</v>
      </c>
      <c r="N25" s="70" t="s">
        <v>328</v>
      </c>
      <c r="O25" s="70" t="s">
        <v>329</v>
      </c>
    </row>
    <row r="26" spans="3:16" s="60" customFormat="1" ht="15" x14ac:dyDescent="0.25">
      <c r="C26" s="24" t="s">
        <v>29</v>
      </c>
      <c r="D26" s="25" t="s">
        <v>342</v>
      </c>
      <c r="E26" s="26" t="s">
        <v>68</v>
      </c>
      <c r="F26" s="27">
        <v>432</v>
      </c>
      <c r="G26" s="28">
        <f>SUM(H26:K26)</f>
        <v>338.36799999999999</v>
      </c>
      <c r="H26" s="29"/>
      <c r="I26" s="29"/>
      <c r="J26" s="29">
        <v>338.36799999999999</v>
      </c>
      <c r="K26" s="30"/>
      <c r="L26" s="61"/>
      <c r="M26" s="69" t="s">
        <v>330</v>
      </c>
      <c r="N26" s="70" t="s">
        <v>328</v>
      </c>
      <c r="O26" s="70" t="s">
        <v>332</v>
      </c>
    </row>
    <row r="27" spans="3:16" s="60" customFormat="1" ht="12.75" x14ac:dyDescent="0.2">
      <c r="C27" s="9"/>
      <c r="D27" s="20"/>
      <c r="E27" s="21" t="s">
        <v>20</v>
      </c>
      <c r="F27" s="22"/>
      <c r="G27" s="22"/>
      <c r="H27" s="22"/>
      <c r="I27" s="22"/>
      <c r="J27" s="22"/>
      <c r="K27" s="23"/>
      <c r="L27" s="61"/>
      <c r="M27" s="49"/>
      <c r="P27" s="67"/>
    </row>
    <row r="28" spans="3:16" s="60" customFormat="1" ht="12.75" x14ac:dyDescent="0.2">
      <c r="C28" s="9"/>
      <c r="D28" s="10" t="s">
        <v>31</v>
      </c>
      <c r="E28" s="11" t="s">
        <v>32</v>
      </c>
      <c r="F28" s="12" t="s">
        <v>33</v>
      </c>
      <c r="G28" s="13">
        <f t="shared" si="0"/>
        <v>2809.1790000000001</v>
      </c>
      <c r="H28" s="13">
        <f>H30+H31+H32</f>
        <v>0</v>
      </c>
      <c r="I28" s="13">
        <f>I29+I31+I32</f>
        <v>0</v>
      </c>
      <c r="J28" s="13">
        <f>J29+J30+J32</f>
        <v>1793.9279999999999</v>
      </c>
      <c r="K28" s="13">
        <f>K29+K30+K31</f>
        <v>1015.2510000000002</v>
      </c>
      <c r="L28" s="61"/>
      <c r="M28" s="49"/>
      <c r="P28" s="67">
        <v>50</v>
      </c>
    </row>
    <row r="29" spans="3:16" s="60" customFormat="1" ht="12.75" x14ac:dyDescent="0.2">
      <c r="C29" s="9"/>
      <c r="D29" s="10" t="s">
        <v>34</v>
      </c>
      <c r="E29" s="14" t="s">
        <v>7</v>
      </c>
      <c r="F29" s="12" t="s">
        <v>35</v>
      </c>
      <c r="G29" s="13">
        <f t="shared" si="0"/>
        <v>868.27700000000004</v>
      </c>
      <c r="H29" s="31"/>
      <c r="I29" s="15"/>
      <c r="J29" s="15">
        <f>H45</f>
        <v>868.27700000000004</v>
      </c>
      <c r="K29" s="15"/>
      <c r="L29" s="61"/>
      <c r="M29" s="49"/>
      <c r="P29" s="67">
        <v>60</v>
      </c>
    </row>
    <row r="30" spans="3:16" s="60" customFormat="1" ht="12.75" x14ac:dyDescent="0.2">
      <c r="C30" s="9"/>
      <c r="D30" s="10" t="s">
        <v>36</v>
      </c>
      <c r="E30" s="14" t="s">
        <v>8</v>
      </c>
      <c r="F30" s="12" t="s">
        <v>37</v>
      </c>
      <c r="G30" s="13">
        <f t="shared" si="0"/>
        <v>925.65099999999995</v>
      </c>
      <c r="H30" s="15"/>
      <c r="I30" s="31"/>
      <c r="J30" s="15">
        <f>I25-I34-I48</f>
        <v>925.65099999999995</v>
      </c>
      <c r="K30" s="15"/>
      <c r="L30" s="61"/>
      <c r="M30" s="49"/>
      <c r="P30" s="67">
        <v>70</v>
      </c>
    </row>
    <row r="31" spans="3:16" s="60" customFormat="1" ht="12.75" x14ac:dyDescent="0.2">
      <c r="C31" s="9"/>
      <c r="D31" s="10" t="s">
        <v>38</v>
      </c>
      <c r="E31" s="14" t="s">
        <v>9</v>
      </c>
      <c r="F31" s="12" t="s">
        <v>39</v>
      </c>
      <c r="G31" s="13">
        <f t="shared" si="0"/>
        <v>1015.2510000000002</v>
      </c>
      <c r="H31" s="15"/>
      <c r="I31" s="15"/>
      <c r="J31" s="31"/>
      <c r="K31" s="15">
        <f>J23+J28+J17-J48-J34</f>
        <v>1015.2510000000002</v>
      </c>
      <c r="L31" s="61"/>
      <c r="M31" s="49"/>
      <c r="P31" s="67">
        <v>80</v>
      </c>
    </row>
    <row r="32" spans="3:16" s="60" customFormat="1" ht="12.75" x14ac:dyDescent="0.2">
      <c r="C32" s="9"/>
      <c r="D32" s="10" t="s">
        <v>40</v>
      </c>
      <c r="E32" s="14" t="s">
        <v>41</v>
      </c>
      <c r="F32" s="12" t="s">
        <v>42</v>
      </c>
      <c r="G32" s="13">
        <f t="shared" si="0"/>
        <v>0</v>
      </c>
      <c r="H32" s="15"/>
      <c r="I32" s="15"/>
      <c r="J32" s="15"/>
      <c r="K32" s="31"/>
      <c r="L32" s="61"/>
      <c r="M32" s="49"/>
      <c r="P32" s="67">
        <v>90</v>
      </c>
    </row>
    <row r="33" spans="3:16" s="60" customFormat="1" ht="12.75" x14ac:dyDescent="0.2">
      <c r="C33" s="9"/>
      <c r="D33" s="10" t="s">
        <v>43</v>
      </c>
      <c r="E33" s="32" t="s">
        <v>44</v>
      </c>
      <c r="F33" s="12" t="s">
        <v>45</v>
      </c>
      <c r="G33" s="13">
        <f t="shared" si="0"/>
        <v>0</v>
      </c>
      <c r="H33" s="15"/>
      <c r="I33" s="15"/>
      <c r="J33" s="15"/>
      <c r="K33" s="15"/>
      <c r="L33" s="61"/>
      <c r="M33" s="49"/>
      <c r="P33" s="67"/>
    </row>
    <row r="34" spans="3:16" s="60" customFormat="1" ht="12.75" x14ac:dyDescent="0.2">
      <c r="C34" s="9"/>
      <c r="D34" s="10" t="s">
        <v>46</v>
      </c>
      <c r="E34" s="11" t="s">
        <v>47</v>
      </c>
      <c r="F34" s="33" t="s">
        <v>48</v>
      </c>
      <c r="G34" s="13">
        <f t="shared" si="0"/>
        <v>6281.6230000000005</v>
      </c>
      <c r="H34" s="13">
        <f>H35+H37+H40+H44</f>
        <v>0</v>
      </c>
      <c r="I34" s="13">
        <f>I35+I37+I40+I44</f>
        <v>3896.6959999999999</v>
      </c>
      <c r="J34" s="13">
        <f>J35+J37+J40+J44</f>
        <v>1413.7339999999999</v>
      </c>
      <c r="K34" s="13">
        <f>K35+K37+K40+K44</f>
        <v>971.19299999999998</v>
      </c>
      <c r="L34" s="61"/>
      <c r="M34" s="49"/>
      <c r="P34" s="67">
        <v>100</v>
      </c>
    </row>
    <row r="35" spans="3:16" s="60" customFormat="1" ht="22.5" x14ac:dyDescent="0.2">
      <c r="C35" s="9"/>
      <c r="D35" s="10" t="s">
        <v>49</v>
      </c>
      <c r="E35" s="14" t="s">
        <v>50</v>
      </c>
      <c r="F35" s="12" t="s">
        <v>51</v>
      </c>
      <c r="G35" s="13">
        <f t="shared" si="0"/>
        <v>0</v>
      </c>
      <c r="H35" s="15"/>
      <c r="I35" s="15"/>
      <c r="J35" s="15"/>
      <c r="K35" s="15"/>
      <c r="L35" s="61"/>
      <c r="M35" s="49"/>
      <c r="P35" s="67"/>
    </row>
    <row r="36" spans="3:16" s="60" customFormat="1" ht="12.75" x14ac:dyDescent="0.2">
      <c r="C36" s="9"/>
      <c r="D36" s="10" t="s">
        <v>52</v>
      </c>
      <c r="E36" s="34" t="s">
        <v>53</v>
      </c>
      <c r="F36" s="12" t="s">
        <v>54</v>
      </c>
      <c r="G36" s="13">
        <f t="shared" si="0"/>
        <v>0</v>
      </c>
      <c r="H36" s="15"/>
      <c r="I36" s="15"/>
      <c r="J36" s="15"/>
      <c r="K36" s="15"/>
      <c r="L36" s="61"/>
      <c r="M36" s="49"/>
      <c r="P36" s="67"/>
    </row>
    <row r="37" spans="3:16" s="60" customFormat="1" ht="12.75" x14ac:dyDescent="0.2">
      <c r="C37" s="9"/>
      <c r="D37" s="10" t="s">
        <v>55</v>
      </c>
      <c r="E37" s="14" t="s">
        <v>56</v>
      </c>
      <c r="F37" s="12" t="s">
        <v>57</v>
      </c>
      <c r="G37" s="13">
        <f t="shared" si="0"/>
        <v>3096.8459999999995</v>
      </c>
      <c r="H37" s="15">
        <v>0</v>
      </c>
      <c r="I37" s="15">
        <f>3896.696-I42</f>
        <v>711.91899999999987</v>
      </c>
      <c r="J37" s="15">
        <v>1413.7339999999999</v>
      </c>
      <c r="K37" s="15">
        <v>971.19299999999998</v>
      </c>
      <c r="L37" s="61"/>
      <c r="M37" s="49"/>
      <c r="P37" s="67"/>
    </row>
    <row r="38" spans="3:16" s="60" customFormat="1" ht="12.75" x14ac:dyDescent="0.2">
      <c r="C38" s="9"/>
      <c r="D38" s="10" t="s">
        <v>58</v>
      </c>
      <c r="E38" s="34" t="s">
        <v>59</v>
      </c>
      <c r="F38" s="12" t="s">
        <v>60</v>
      </c>
      <c r="G38" s="13">
        <f t="shared" si="0"/>
        <v>0</v>
      </c>
      <c r="H38" s="15"/>
      <c r="I38" s="15"/>
      <c r="J38" s="15"/>
      <c r="K38" s="15"/>
      <c r="L38" s="61"/>
      <c r="M38" s="49"/>
      <c r="P38" s="67"/>
    </row>
    <row r="39" spans="3:16" s="60" customFormat="1" ht="12.75" x14ac:dyDescent="0.2">
      <c r="C39" s="9"/>
      <c r="D39" s="10" t="s">
        <v>61</v>
      </c>
      <c r="E39" s="35" t="s">
        <v>53</v>
      </c>
      <c r="F39" s="12" t="s">
        <v>62</v>
      </c>
      <c r="G39" s="13">
        <f t="shared" si="0"/>
        <v>0</v>
      </c>
      <c r="H39" s="15"/>
      <c r="I39" s="15"/>
      <c r="J39" s="15"/>
      <c r="K39" s="15"/>
      <c r="L39" s="61"/>
      <c r="M39" s="49"/>
      <c r="P39" s="67"/>
    </row>
    <row r="40" spans="3:16" s="60" customFormat="1" ht="12.75" x14ac:dyDescent="0.2">
      <c r="C40" s="9"/>
      <c r="D40" s="10" t="s">
        <v>63</v>
      </c>
      <c r="E40" s="14" t="s">
        <v>64</v>
      </c>
      <c r="F40" s="12" t="s">
        <v>65</v>
      </c>
      <c r="G40" s="13">
        <f t="shared" si="0"/>
        <v>3184.777</v>
      </c>
      <c r="H40" s="13">
        <f>SUM(H41:H43)</f>
        <v>0</v>
      </c>
      <c r="I40" s="13">
        <f>SUM(I41:I43)</f>
        <v>3184.777</v>
      </c>
      <c r="J40" s="13">
        <f>SUM(J41:J43)</f>
        <v>0</v>
      </c>
      <c r="K40" s="13">
        <f>SUM(K41:K43)</f>
        <v>0</v>
      </c>
      <c r="L40" s="61"/>
      <c r="M40" s="49"/>
      <c r="P40" s="67"/>
    </row>
    <row r="41" spans="3:16" s="60" customFormat="1" ht="12.75" x14ac:dyDescent="0.2">
      <c r="C41" s="9"/>
      <c r="D41" s="16" t="s">
        <v>66</v>
      </c>
      <c r="E41" s="17"/>
      <c r="F41" s="18" t="s">
        <v>65</v>
      </c>
      <c r="G41" s="19"/>
      <c r="H41" s="19"/>
      <c r="I41" s="19"/>
      <c r="J41" s="19"/>
      <c r="K41" s="19"/>
      <c r="L41" s="61"/>
      <c r="M41" s="49"/>
      <c r="P41" s="67"/>
    </row>
    <row r="42" spans="3:16" s="60" customFormat="1" ht="15" x14ac:dyDescent="0.25">
      <c r="C42" s="24" t="s">
        <v>29</v>
      </c>
      <c r="D42" s="25" t="s">
        <v>67</v>
      </c>
      <c r="E42" s="26" t="s">
        <v>68</v>
      </c>
      <c r="F42" s="27">
        <v>751</v>
      </c>
      <c r="G42" s="28">
        <f>SUM(H42:K42)</f>
        <v>3184.777</v>
      </c>
      <c r="H42" s="29"/>
      <c r="I42" s="29">
        <v>3184.777</v>
      </c>
      <c r="J42" s="29"/>
      <c r="K42" s="30"/>
      <c r="L42" s="61"/>
      <c r="M42" s="69" t="s">
        <v>330</v>
      </c>
      <c r="N42" s="70" t="s">
        <v>331</v>
      </c>
      <c r="O42" s="70" t="s">
        <v>332</v>
      </c>
    </row>
    <row r="43" spans="3:16" s="60" customFormat="1" ht="12.75" x14ac:dyDescent="0.2">
      <c r="C43" s="9"/>
      <c r="D43" s="36"/>
      <c r="E43" s="21" t="s">
        <v>20</v>
      </c>
      <c r="F43" s="22"/>
      <c r="G43" s="22"/>
      <c r="H43" s="22"/>
      <c r="I43" s="22"/>
      <c r="J43" s="22"/>
      <c r="K43" s="23"/>
      <c r="L43" s="61"/>
      <c r="M43" s="49"/>
      <c r="P43" s="67"/>
    </row>
    <row r="44" spans="3:16" s="60" customFormat="1" ht="12.75" x14ac:dyDescent="0.2">
      <c r="C44" s="9"/>
      <c r="D44" s="10" t="s">
        <v>69</v>
      </c>
      <c r="E44" s="37" t="s">
        <v>70</v>
      </c>
      <c r="F44" s="12" t="s">
        <v>71</v>
      </c>
      <c r="G44" s="13">
        <f t="shared" si="0"/>
        <v>0</v>
      </c>
      <c r="H44" s="15"/>
      <c r="I44" s="15"/>
      <c r="J44" s="15"/>
      <c r="K44" s="15"/>
      <c r="L44" s="61"/>
      <c r="M44" s="49"/>
      <c r="P44" s="67">
        <v>120</v>
      </c>
    </row>
    <row r="45" spans="3:16" s="60" customFormat="1" ht="12.75" x14ac:dyDescent="0.2">
      <c r="C45" s="9"/>
      <c r="D45" s="10" t="s">
        <v>72</v>
      </c>
      <c r="E45" s="11" t="s">
        <v>73</v>
      </c>
      <c r="F45" s="12" t="s">
        <v>74</v>
      </c>
      <c r="G45" s="13">
        <f t="shared" si="0"/>
        <v>2809.1790000000001</v>
      </c>
      <c r="H45" s="15">
        <f>H25-H48-H34</f>
        <v>868.27700000000004</v>
      </c>
      <c r="I45" s="15">
        <f>I15-I34-I48</f>
        <v>925.65099999999995</v>
      </c>
      <c r="J45" s="15">
        <f>J23+J28+J17-J34-J48</f>
        <v>1015.251</v>
      </c>
      <c r="K45" s="15">
        <f>K31-K34-K48</f>
        <v>2.2026824808563106E-13</v>
      </c>
      <c r="L45" s="61"/>
      <c r="M45" s="49"/>
      <c r="P45" s="67">
        <v>150</v>
      </c>
    </row>
    <row r="46" spans="3:16" s="60" customFormat="1" ht="12.75" x14ac:dyDescent="0.2">
      <c r="C46" s="9"/>
      <c r="D46" s="10" t="s">
        <v>75</v>
      </c>
      <c r="E46" s="11" t="s">
        <v>76</v>
      </c>
      <c r="F46" s="12" t="s">
        <v>77</v>
      </c>
      <c r="G46" s="13">
        <f t="shared" si="0"/>
        <v>0</v>
      </c>
      <c r="H46" s="15"/>
      <c r="I46" s="15"/>
      <c r="J46" s="15"/>
      <c r="K46" s="15"/>
      <c r="L46" s="61"/>
      <c r="M46" s="49"/>
      <c r="P46" s="67">
        <v>160</v>
      </c>
    </row>
    <row r="47" spans="3:16" s="60" customFormat="1" ht="12.75" x14ac:dyDescent="0.2">
      <c r="C47" s="9"/>
      <c r="D47" s="10" t="s">
        <v>78</v>
      </c>
      <c r="E47" s="11" t="s">
        <v>79</v>
      </c>
      <c r="F47" s="12" t="s">
        <v>80</v>
      </c>
      <c r="G47" s="13">
        <f t="shared" si="0"/>
        <v>0</v>
      </c>
      <c r="H47" s="15"/>
      <c r="I47" s="15"/>
      <c r="J47" s="15"/>
      <c r="K47" s="15"/>
      <c r="L47" s="61"/>
      <c r="M47" s="49"/>
      <c r="P47" s="67">
        <v>180</v>
      </c>
    </row>
    <row r="48" spans="3:16" s="60" customFormat="1" ht="12.75" x14ac:dyDescent="0.2">
      <c r="C48" s="9"/>
      <c r="D48" s="10" t="s">
        <v>81</v>
      </c>
      <c r="E48" s="11" t="s">
        <v>82</v>
      </c>
      <c r="F48" s="12" t="s">
        <v>83</v>
      </c>
      <c r="G48" s="13">
        <f t="shared" si="0"/>
        <v>171.21</v>
      </c>
      <c r="H48" s="15">
        <v>1.4E-2</v>
      </c>
      <c r="I48" s="15">
        <v>27.553999999999998</v>
      </c>
      <c r="J48" s="15">
        <v>99.584000000000003</v>
      </c>
      <c r="K48" s="15">
        <v>44.058</v>
      </c>
      <c r="L48" s="61"/>
      <c r="M48" s="49"/>
      <c r="P48" s="67">
        <v>190</v>
      </c>
    </row>
    <row r="49" spans="3:16" s="60" customFormat="1" ht="12.75" x14ac:dyDescent="0.2">
      <c r="C49" s="9"/>
      <c r="D49" s="10" t="s">
        <v>84</v>
      </c>
      <c r="E49" s="14" t="s">
        <v>85</v>
      </c>
      <c r="F49" s="12" t="s">
        <v>86</v>
      </c>
      <c r="G49" s="13">
        <f t="shared" si="0"/>
        <v>0</v>
      </c>
      <c r="H49" s="15"/>
      <c r="I49" s="15"/>
      <c r="J49" s="15"/>
      <c r="K49" s="15"/>
      <c r="L49" s="61"/>
      <c r="M49" s="49"/>
      <c r="P49" s="67">
        <v>200</v>
      </c>
    </row>
    <row r="50" spans="3:16" s="60" customFormat="1" ht="22.5" x14ac:dyDescent="0.2">
      <c r="C50" s="9"/>
      <c r="D50" s="10" t="s">
        <v>87</v>
      </c>
      <c r="E50" s="11" t="s">
        <v>88</v>
      </c>
      <c r="F50" s="12" t="s">
        <v>89</v>
      </c>
      <c r="G50" s="13">
        <f t="shared" si="0"/>
        <v>136.56700000000001</v>
      </c>
      <c r="H50" s="15"/>
      <c r="I50" s="15">
        <f>136.567*0.2468</f>
        <v>33.704735599999999</v>
      </c>
      <c r="J50" s="15">
        <f>136.567*0.3291</f>
        <v>44.944199700000006</v>
      </c>
      <c r="K50" s="15">
        <f>136.567*0.4241</f>
        <v>57.918064700000002</v>
      </c>
      <c r="L50" s="61"/>
      <c r="M50" s="49"/>
      <c r="P50" s="68"/>
    </row>
    <row r="51" spans="3:16" s="60" customFormat="1" ht="33.75" x14ac:dyDescent="0.2">
      <c r="C51" s="9"/>
      <c r="D51" s="10" t="s">
        <v>90</v>
      </c>
      <c r="E51" s="32" t="s">
        <v>91</v>
      </c>
      <c r="F51" s="12" t="s">
        <v>92</v>
      </c>
      <c r="G51" s="13">
        <f t="shared" si="0"/>
        <v>34.642999999999994</v>
      </c>
      <c r="H51" s="13">
        <f>H48-H50</f>
        <v>1.4E-2</v>
      </c>
      <c r="I51" s="13">
        <f>I48-I50</f>
        <v>-6.1507356000000009</v>
      </c>
      <c r="J51" s="13">
        <f>J48-J50</f>
        <v>54.639800299999997</v>
      </c>
      <c r="K51" s="13">
        <f>K48-K50</f>
        <v>-13.860064700000002</v>
      </c>
      <c r="L51" s="61"/>
      <c r="M51" s="49"/>
      <c r="P51" s="68"/>
    </row>
    <row r="52" spans="3:16" s="60" customFormat="1" ht="12.75" x14ac:dyDescent="0.2">
      <c r="C52" s="9"/>
      <c r="D52" s="10" t="s">
        <v>93</v>
      </c>
      <c r="E52" s="11" t="s">
        <v>94</v>
      </c>
      <c r="F52" s="12" t="s">
        <v>95</v>
      </c>
      <c r="G52" s="13">
        <f t="shared" si="0"/>
        <v>0</v>
      </c>
      <c r="H52" s="13">
        <f>(H15+H28+H33)-(H34+H45+H46+H47+H48)</f>
        <v>0</v>
      </c>
      <c r="I52" s="13">
        <f>(I15+I28+I33)-(I34+I45+I46+I47+I48)</f>
        <v>0</v>
      </c>
      <c r="J52" s="13">
        <f>(J15+J28+J33)-(J34+J45+J46+J47+J48)</f>
        <v>0</v>
      </c>
      <c r="K52" s="13">
        <f>(K15+K28+K33)-(K34+K45+K46+K47+K48)</f>
        <v>0</v>
      </c>
      <c r="L52" s="61"/>
      <c r="M52" s="49"/>
      <c r="P52" s="67">
        <v>210</v>
      </c>
    </row>
    <row r="53" spans="3:16" s="60" customFormat="1" ht="12.75" x14ac:dyDescent="0.2">
      <c r="C53" s="9"/>
      <c r="D53" s="99" t="s">
        <v>96</v>
      </c>
      <c r="E53" s="100"/>
      <c r="F53" s="100"/>
      <c r="G53" s="100"/>
      <c r="H53" s="100"/>
      <c r="I53" s="100"/>
      <c r="J53" s="100"/>
      <c r="K53" s="101"/>
      <c r="L53" s="61"/>
      <c r="M53" s="49"/>
      <c r="P53" s="68"/>
    </row>
    <row r="54" spans="3:16" s="60" customFormat="1" ht="12.75" x14ac:dyDescent="0.2">
      <c r="C54" s="9"/>
      <c r="D54" s="10" t="s">
        <v>97</v>
      </c>
      <c r="E54" s="11" t="s">
        <v>13</v>
      </c>
      <c r="F54" s="12" t="s">
        <v>98</v>
      </c>
      <c r="G54" s="13">
        <f t="shared" si="0"/>
        <v>8.6731626344086017</v>
      </c>
      <c r="H54" s="13">
        <f>H55+H56+H59+H62</f>
        <v>1.1670577956989248</v>
      </c>
      <c r="I54" s="13">
        <f>I55+I56+I59+I62</f>
        <v>6.5186841397849458</v>
      </c>
      <c r="J54" s="13">
        <f>J55+J56+J59+J62</f>
        <v>0.98742069892473117</v>
      </c>
      <c r="K54" s="13">
        <f>K55+K56+K59+K62</f>
        <v>0</v>
      </c>
      <c r="L54" s="61"/>
      <c r="M54" s="49"/>
      <c r="P54" s="67">
        <v>300</v>
      </c>
    </row>
    <row r="55" spans="3:16" s="60" customFormat="1" ht="12.75" x14ac:dyDescent="0.2">
      <c r="C55" s="9"/>
      <c r="D55" s="10" t="s">
        <v>99</v>
      </c>
      <c r="E55" s="14" t="s">
        <v>15</v>
      </c>
      <c r="F55" s="12" t="s">
        <v>100</v>
      </c>
      <c r="G55" s="13">
        <f t="shared" si="0"/>
        <v>0</v>
      </c>
      <c r="H55" s="15"/>
      <c r="I55" s="15"/>
      <c r="J55" s="15"/>
      <c r="K55" s="15"/>
      <c r="L55" s="61"/>
      <c r="M55" s="49"/>
      <c r="P55" s="67">
        <v>310</v>
      </c>
    </row>
    <row r="56" spans="3:16" s="60" customFormat="1" ht="12.75" x14ac:dyDescent="0.2">
      <c r="C56" s="9"/>
      <c r="D56" s="10" t="s">
        <v>101</v>
      </c>
      <c r="E56" s="14" t="s">
        <v>17</v>
      </c>
      <c r="F56" s="12" t="s">
        <v>102</v>
      </c>
      <c r="G56" s="13">
        <f t="shared" si="0"/>
        <v>0</v>
      </c>
      <c r="H56" s="13">
        <f>SUM(H57:H58)</f>
        <v>0</v>
      </c>
      <c r="I56" s="13">
        <f>SUM(I57:I58)</f>
        <v>0</v>
      </c>
      <c r="J56" s="13">
        <f>SUM(J57:J58)</f>
        <v>0</v>
      </c>
      <c r="K56" s="13">
        <f>SUM(K57:K58)</f>
        <v>0</v>
      </c>
      <c r="L56" s="61"/>
      <c r="M56" s="49"/>
      <c r="P56" s="67">
        <v>320</v>
      </c>
    </row>
    <row r="57" spans="3:16" s="60" customFormat="1" ht="12.75" x14ac:dyDescent="0.2">
      <c r="C57" s="9"/>
      <c r="D57" s="16" t="s">
        <v>103</v>
      </c>
      <c r="E57" s="17"/>
      <c r="F57" s="18" t="s">
        <v>102</v>
      </c>
      <c r="G57" s="19"/>
      <c r="H57" s="19"/>
      <c r="I57" s="19"/>
      <c r="J57" s="19"/>
      <c r="K57" s="19"/>
      <c r="L57" s="61"/>
      <c r="M57" s="49"/>
      <c r="P57" s="67"/>
    </row>
    <row r="58" spans="3:16" s="60" customFormat="1" ht="12.75" x14ac:dyDescent="0.2">
      <c r="C58" s="9"/>
      <c r="D58" s="20"/>
      <c r="E58" s="21" t="s">
        <v>20</v>
      </c>
      <c r="F58" s="22"/>
      <c r="G58" s="22"/>
      <c r="H58" s="22"/>
      <c r="I58" s="22"/>
      <c r="J58" s="22"/>
      <c r="K58" s="23"/>
      <c r="L58" s="61"/>
      <c r="M58" s="49"/>
      <c r="P58" s="67"/>
    </row>
    <row r="59" spans="3:16" s="60" customFormat="1" ht="12.75" x14ac:dyDescent="0.2">
      <c r="C59" s="9"/>
      <c r="D59" s="10" t="s">
        <v>104</v>
      </c>
      <c r="E59" s="14" t="s">
        <v>22</v>
      </c>
      <c r="F59" s="12" t="s">
        <v>105</v>
      </c>
      <c r="G59" s="13">
        <f t="shared" si="0"/>
        <v>0</v>
      </c>
      <c r="H59" s="13">
        <f>SUM(H60:H61)</f>
        <v>0</v>
      </c>
      <c r="I59" s="13">
        <f>SUM(I60:I61)</f>
        <v>0</v>
      </c>
      <c r="J59" s="13">
        <f>SUM(J60:J61)</f>
        <v>0</v>
      </c>
      <c r="K59" s="13">
        <f>SUM(K60:K61)</f>
        <v>0</v>
      </c>
      <c r="L59" s="61"/>
      <c r="M59" s="49"/>
      <c r="P59" s="67"/>
    </row>
    <row r="60" spans="3:16" s="60" customFormat="1" ht="12.75" x14ac:dyDescent="0.2">
      <c r="C60" s="9"/>
      <c r="D60" s="16" t="s">
        <v>106</v>
      </c>
      <c r="E60" s="17"/>
      <c r="F60" s="18" t="s">
        <v>105</v>
      </c>
      <c r="G60" s="19"/>
      <c r="H60" s="19"/>
      <c r="I60" s="19"/>
      <c r="J60" s="19"/>
      <c r="K60" s="19"/>
      <c r="L60" s="61"/>
      <c r="M60" s="49"/>
      <c r="P60" s="67"/>
    </row>
    <row r="61" spans="3:16" s="60" customFormat="1" ht="12.75" x14ac:dyDescent="0.2">
      <c r="C61" s="9"/>
      <c r="D61" s="20"/>
      <c r="E61" s="21" t="s">
        <v>20</v>
      </c>
      <c r="F61" s="22"/>
      <c r="G61" s="22"/>
      <c r="H61" s="22"/>
      <c r="I61" s="22"/>
      <c r="J61" s="22"/>
      <c r="K61" s="23"/>
      <c r="L61" s="61"/>
      <c r="M61" s="49"/>
      <c r="P61" s="67"/>
    </row>
    <row r="62" spans="3:16" s="60" customFormat="1" ht="12.75" x14ac:dyDescent="0.2">
      <c r="C62" s="9"/>
      <c r="D62" s="10" t="s">
        <v>107</v>
      </c>
      <c r="E62" s="14" t="s">
        <v>26</v>
      </c>
      <c r="F62" s="12" t="s">
        <v>108</v>
      </c>
      <c r="G62" s="13">
        <f t="shared" si="0"/>
        <v>8.6731626344086017</v>
      </c>
      <c r="H62" s="13">
        <f>SUM(H63:H66)</f>
        <v>1.1670577956989248</v>
      </c>
      <c r="I62" s="13">
        <f>SUM(I63:I66)</f>
        <v>6.5186841397849458</v>
      </c>
      <c r="J62" s="13">
        <f>SUM(J63:J66)</f>
        <v>0.98742069892473117</v>
      </c>
      <c r="K62" s="13">
        <f>SUM(K63:K66)</f>
        <v>0</v>
      </c>
      <c r="L62" s="61"/>
      <c r="M62" s="49"/>
      <c r="P62" s="67">
        <v>330</v>
      </c>
    </row>
    <row r="63" spans="3:16" s="60" customFormat="1" ht="12.75" x14ac:dyDescent="0.2">
      <c r="C63" s="9"/>
      <c r="D63" s="16" t="s">
        <v>109</v>
      </c>
      <c r="E63" s="17"/>
      <c r="F63" s="18" t="s">
        <v>108</v>
      </c>
      <c r="G63" s="19"/>
      <c r="H63" s="19"/>
      <c r="I63" s="19"/>
      <c r="J63" s="19"/>
      <c r="K63" s="19"/>
      <c r="L63" s="61"/>
      <c r="M63" s="49"/>
      <c r="P63" s="67"/>
    </row>
    <row r="64" spans="3:16" s="60" customFormat="1" ht="15" x14ac:dyDescent="0.25">
      <c r="C64" s="24" t="s">
        <v>29</v>
      </c>
      <c r="D64" s="25" t="s">
        <v>110</v>
      </c>
      <c r="E64" s="26" t="s">
        <v>344</v>
      </c>
      <c r="F64" s="27">
        <v>1461</v>
      </c>
      <c r="G64" s="28">
        <f>SUM(H64:K64)</f>
        <v>8.2183669354838695</v>
      </c>
      <c r="H64" s="29">
        <f>H25/744</f>
        <v>1.1670577956989248</v>
      </c>
      <c r="I64" s="29">
        <f>I25/744</f>
        <v>6.5186841397849458</v>
      </c>
      <c r="J64" s="29">
        <f>J25/744</f>
        <v>0.53262500000000002</v>
      </c>
      <c r="K64" s="29"/>
      <c r="L64" s="61"/>
      <c r="M64" s="69" t="s">
        <v>327</v>
      </c>
      <c r="N64" s="70" t="s">
        <v>328</v>
      </c>
      <c r="O64" s="70" t="s">
        <v>329</v>
      </c>
    </row>
    <row r="65" spans="3:16" s="60" customFormat="1" ht="15" x14ac:dyDescent="0.25">
      <c r="C65" s="24" t="s">
        <v>29</v>
      </c>
      <c r="D65" s="25" t="s">
        <v>343</v>
      </c>
      <c r="E65" s="26" t="s">
        <v>68</v>
      </c>
      <c r="F65" s="27">
        <v>1462</v>
      </c>
      <c r="G65" s="28">
        <f>SUM(H65:K65)</f>
        <v>0.45479569892473115</v>
      </c>
      <c r="H65" s="29"/>
      <c r="I65" s="29"/>
      <c r="J65" s="29">
        <f>J26/744</f>
        <v>0.45479569892473115</v>
      </c>
      <c r="K65" s="30"/>
      <c r="L65" s="61"/>
      <c r="M65" s="69" t="s">
        <v>330</v>
      </c>
      <c r="N65" s="70" t="s">
        <v>328</v>
      </c>
      <c r="O65" s="70" t="s">
        <v>332</v>
      </c>
    </row>
    <row r="66" spans="3:16" s="60" customFormat="1" ht="12.75" x14ac:dyDescent="0.2">
      <c r="C66" s="9"/>
      <c r="D66" s="20"/>
      <c r="E66" s="21" t="s">
        <v>20</v>
      </c>
      <c r="F66" s="22"/>
      <c r="G66" s="22"/>
      <c r="H66" s="22"/>
      <c r="I66" s="22"/>
      <c r="J66" s="22"/>
      <c r="K66" s="23"/>
      <c r="L66" s="61"/>
      <c r="M66" s="49"/>
      <c r="P66" s="67"/>
    </row>
    <row r="67" spans="3:16" s="60" customFormat="1" ht="12.75" x14ac:dyDescent="0.2">
      <c r="C67" s="9"/>
      <c r="D67" s="10" t="s">
        <v>111</v>
      </c>
      <c r="E67" s="11" t="s">
        <v>32</v>
      </c>
      <c r="F67" s="12" t="s">
        <v>112</v>
      </c>
      <c r="G67" s="13">
        <f t="shared" si="0"/>
        <v>3.7757782258064516</v>
      </c>
      <c r="H67" s="13">
        <f>H69+H70+H71</f>
        <v>0</v>
      </c>
      <c r="I67" s="13">
        <f>I68+I70+I71</f>
        <v>0</v>
      </c>
      <c r="J67" s="13">
        <f>J68+J69+J71</f>
        <v>2.4111935483870965</v>
      </c>
      <c r="K67" s="13">
        <f>K68+K69+K70</f>
        <v>1.3645846774193551</v>
      </c>
      <c r="L67" s="61"/>
      <c r="M67" s="49"/>
      <c r="P67" s="67">
        <v>340</v>
      </c>
    </row>
    <row r="68" spans="3:16" s="60" customFormat="1" ht="12.75" x14ac:dyDescent="0.2">
      <c r="C68" s="9"/>
      <c r="D68" s="10" t="s">
        <v>113</v>
      </c>
      <c r="E68" s="14" t="s">
        <v>7</v>
      </c>
      <c r="F68" s="12" t="s">
        <v>114</v>
      </c>
      <c r="G68" s="13">
        <f t="shared" si="0"/>
        <v>1.1670389784946238</v>
      </c>
      <c r="H68" s="31"/>
      <c r="I68" s="15"/>
      <c r="J68" s="15">
        <f>J29/744</f>
        <v>1.1670389784946238</v>
      </c>
      <c r="K68" s="15"/>
      <c r="L68" s="61"/>
      <c r="M68" s="49"/>
      <c r="P68" s="67">
        <v>350</v>
      </c>
    </row>
    <row r="69" spans="3:16" s="60" customFormat="1" ht="12.75" x14ac:dyDescent="0.2">
      <c r="C69" s="9"/>
      <c r="D69" s="10" t="s">
        <v>115</v>
      </c>
      <c r="E69" s="14" t="s">
        <v>8</v>
      </c>
      <c r="F69" s="12" t="s">
        <v>116</v>
      </c>
      <c r="G69" s="13">
        <f t="shared" si="0"/>
        <v>1.244154569892473</v>
      </c>
      <c r="H69" s="15"/>
      <c r="I69" s="38"/>
      <c r="J69" s="15">
        <f>J30/744</f>
        <v>1.244154569892473</v>
      </c>
      <c r="K69" s="15"/>
      <c r="L69" s="61"/>
      <c r="M69" s="49"/>
      <c r="P69" s="67">
        <v>360</v>
      </c>
    </row>
    <row r="70" spans="3:16" s="60" customFormat="1" ht="12.75" x14ac:dyDescent="0.2">
      <c r="C70" s="9"/>
      <c r="D70" s="10" t="s">
        <v>117</v>
      </c>
      <c r="E70" s="14" t="s">
        <v>9</v>
      </c>
      <c r="F70" s="12" t="s">
        <v>118</v>
      </c>
      <c r="G70" s="13">
        <f t="shared" si="0"/>
        <v>1.3645846774193551</v>
      </c>
      <c r="H70" s="15"/>
      <c r="I70" s="15"/>
      <c r="J70" s="31"/>
      <c r="K70" s="15">
        <f>K31/744</f>
        <v>1.3645846774193551</v>
      </c>
      <c r="L70" s="61"/>
      <c r="M70" s="49"/>
      <c r="P70" s="67">
        <v>370</v>
      </c>
    </row>
    <row r="71" spans="3:16" s="60" customFormat="1" ht="12.75" x14ac:dyDescent="0.2">
      <c r="C71" s="9"/>
      <c r="D71" s="10" t="s">
        <v>119</v>
      </c>
      <c r="E71" s="14" t="s">
        <v>41</v>
      </c>
      <c r="F71" s="12" t="s">
        <v>120</v>
      </c>
      <c r="G71" s="13">
        <f t="shared" si="0"/>
        <v>0</v>
      </c>
      <c r="H71" s="15"/>
      <c r="I71" s="15"/>
      <c r="J71" s="15"/>
      <c r="K71" s="31"/>
      <c r="L71" s="61"/>
      <c r="M71" s="49"/>
      <c r="P71" s="67">
        <v>380</v>
      </c>
    </row>
    <row r="72" spans="3:16" s="60" customFormat="1" ht="12.75" x14ac:dyDescent="0.2">
      <c r="C72" s="9"/>
      <c r="D72" s="10" t="s">
        <v>121</v>
      </c>
      <c r="E72" s="32" t="s">
        <v>44</v>
      </c>
      <c r="F72" s="12" t="s">
        <v>122</v>
      </c>
      <c r="G72" s="13">
        <f t="shared" si="0"/>
        <v>0</v>
      </c>
      <c r="H72" s="15"/>
      <c r="I72" s="15"/>
      <c r="J72" s="15"/>
      <c r="K72" s="15"/>
      <c r="L72" s="61"/>
      <c r="M72" s="49"/>
      <c r="P72" s="67"/>
    </row>
    <row r="73" spans="3:16" s="60" customFormat="1" ht="12.75" x14ac:dyDescent="0.2">
      <c r="C73" s="9"/>
      <c r="D73" s="10" t="s">
        <v>123</v>
      </c>
      <c r="E73" s="11" t="s">
        <v>47</v>
      </c>
      <c r="F73" s="33" t="s">
        <v>124</v>
      </c>
      <c r="G73" s="13">
        <f t="shared" si="0"/>
        <v>8.4430416666666659</v>
      </c>
      <c r="H73" s="13">
        <f>H74+H76+H79+H83</f>
        <v>0</v>
      </c>
      <c r="I73" s="13">
        <f>I74+I76+I79+I83</f>
        <v>5.2374946236559135</v>
      </c>
      <c r="J73" s="13">
        <f>J74+J76+J79+J83</f>
        <v>1.9001801075268816</v>
      </c>
      <c r="K73" s="13">
        <f>K74+K76+K79+K83</f>
        <v>1.3053669354838708</v>
      </c>
      <c r="L73" s="61"/>
      <c r="M73" s="49"/>
      <c r="P73" s="67">
        <v>390</v>
      </c>
    </row>
    <row r="74" spans="3:16" s="60" customFormat="1" ht="22.5" x14ac:dyDescent="0.2">
      <c r="C74" s="9"/>
      <c r="D74" s="10" t="s">
        <v>125</v>
      </c>
      <c r="E74" s="14" t="s">
        <v>50</v>
      </c>
      <c r="F74" s="12" t="s">
        <v>126</v>
      </c>
      <c r="G74" s="13">
        <f t="shared" si="0"/>
        <v>0</v>
      </c>
      <c r="H74" s="15"/>
      <c r="I74" s="15"/>
      <c r="J74" s="15"/>
      <c r="K74" s="15"/>
      <c r="L74" s="61"/>
      <c r="M74" s="49"/>
      <c r="P74" s="67"/>
    </row>
    <row r="75" spans="3:16" s="60" customFormat="1" ht="12.75" x14ac:dyDescent="0.2">
      <c r="C75" s="9"/>
      <c r="D75" s="10" t="s">
        <v>127</v>
      </c>
      <c r="E75" s="34" t="s">
        <v>53</v>
      </c>
      <c r="F75" s="12" t="s">
        <v>128</v>
      </c>
      <c r="G75" s="13">
        <f t="shared" si="0"/>
        <v>0</v>
      </c>
      <c r="H75" s="15"/>
      <c r="I75" s="15"/>
      <c r="J75" s="15"/>
      <c r="K75" s="15"/>
      <c r="L75" s="61"/>
      <c r="M75" s="49"/>
      <c r="P75" s="67"/>
    </row>
    <row r="76" spans="3:16" s="60" customFormat="1" ht="12.75" x14ac:dyDescent="0.2">
      <c r="C76" s="9"/>
      <c r="D76" s="10" t="s">
        <v>129</v>
      </c>
      <c r="E76" s="14" t="s">
        <v>56</v>
      </c>
      <c r="F76" s="12" t="s">
        <v>130</v>
      </c>
      <c r="G76" s="13">
        <f t="shared" si="0"/>
        <v>4.1624274193548381</v>
      </c>
      <c r="H76" s="15">
        <f>H37/744</f>
        <v>0</v>
      </c>
      <c r="I76" s="15">
        <f>I37/744</f>
        <v>0.95688037634408585</v>
      </c>
      <c r="J76" s="15">
        <f>J37/744</f>
        <v>1.9001801075268816</v>
      </c>
      <c r="K76" s="15">
        <f>K37/744</f>
        <v>1.3053669354838708</v>
      </c>
      <c r="L76" s="61"/>
      <c r="M76" s="49"/>
      <c r="P76" s="67"/>
    </row>
    <row r="77" spans="3:16" s="60" customFormat="1" ht="12.75" x14ac:dyDescent="0.2">
      <c r="C77" s="9"/>
      <c r="D77" s="10" t="s">
        <v>131</v>
      </c>
      <c r="E77" s="34" t="s">
        <v>59</v>
      </c>
      <c r="F77" s="12" t="s">
        <v>132</v>
      </c>
      <c r="G77" s="13">
        <f t="shared" si="0"/>
        <v>0</v>
      </c>
      <c r="H77" s="15"/>
      <c r="I77" s="15"/>
      <c r="J77" s="15"/>
      <c r="K77" s="15"/>
      <c r="L77" s="61"/>
      <c r="M77" s="49"/>
      <c r="P77" s="67"/>
    </row>
    <row r="78" spans="3:16" s="60" customFormat="1" ht="12.75" x14ac:dyDescent="0.2">
      <c r="C78" s="9"/>
      <c r="D78" s="10" t="s">
        <v>133</v>
      </c>
      <c r="E78" s="35" t="s">
        <v>53</v>
      </c>
      <c r="F78" s="12" t="s">
        <v>134</v>
      </c>
      <c r="G78" s="13">
        <f t="shared" si="0"/>
        <v>0</v>
      </c>
      <c r="H78" s="15"/>
      <c r="I78" s="15"/>
      <c r="J78" s="15"/>
      <c r="K78" s="15"/>
      <c r="L78" s="61"/>
      <c r="M78" s="49"/>
      <c r="P78" s="67"/>
    </row>
    <row r="79" spans="3:16" s="60" customFormat="1" ht="12.75" x14ac:dyDescent="0.2">
      <c r="C79" s="9"/>
      <c r="D79" s="10" t="s">
        <v>135</v>
      </c>
      <c r="E79" s="14" t="s">
        <v>64</v>
      </c>
      <c r="F79" s="12" t="s">
        <v>136</v>
      </c>
      <c r="G79" s="13">
        <f t="shared" si="0"/>
        <v>4.2806142473118278</v>
      </c>
      <c r="H79" s="13">
        <f>SUM(H80:H82)</f>
        <v>0</v>
      </c>
      <c r="I79" s="13">
        <f>SUM(I80:I82)</f>
        <v>4.2806142473118278</v>
      </c>
      <c r="J79" s="13">
        <f>SUM(J80:J82)</f>
        <v>0</v>
      </c>
      <c r="K79" s="13">
        <f>SUM(K80:K82)</f>
        <v>0</v>
      </c>
      <c r="L79" s="61"/>
      <c r="M79" s="49"/>
      <c r="P79" s="67"/>
    </row>
    <row r="80" spans="3:16" s="60" customFormat="1" ht="12.75" x14ac:dyDescent="0.2">
      <c r="C80" s="9"/>
      <c r="D80" s="16" t="s">
        <v>137</v>
      </c>
      <c r="E80" s="17"/>
      <c r="F80" s="18" t="s">
        <v>136</v>
      </c>
      <c r="G80" s="19"/>
      <c r="H80" s="19"/>
      <c r="I80" s="19"/>
      <c r="J80" s="19"/>
      <c r="K80" s="19"/>
      <c r="L80" s="61"/>
      <c r="M80" s="49"/>
      <c r="P80" s="67"/>
    </row>
    <row r="81" spans="3:16" s="60" customFormat="1" ht="15" x14ac:dyDescent="0.25">
      <c r="C81" s="24" t="s">
        <v>29</v>
      </c>
      <c r="D81" s="25" t="s">
        <v>138</v>
      </c>
      <c r="E81" s="26" t="s">
        <v>68</v>
      </c>
      <c r="F81" s="27">
        <v>1781</v>
      </c>
      <c r="G81" s="28">
        <f>SUM(H81:K81)</f>
        <v>4.2806142473118278</v>
      </c>
      <c r="H81" s="29"/>
      <c r="I81" s="29">
        <f>I42/744</f>
        <v>4.2806142473118278</v>
      </c>
      <c r="J81" s="29"/>
      <c r="K81" s="30"/>
      <c r="L81" s="61"/>
      <c r="M81" s="69" t="s">
        <v>330</v>
      </c>
      <c r="N81" s="70" t="s">
        <v>331</v>
      </c>
      <c r="O81" s="70" t="s">
        <v>332</v>
      </c>
    </row>
    <row r="82" spans="3:16" s="60" customFormat="1" ht="12.75" x14ac:dyDescent="0.2">
      <c r="C82" s="9"/>
      <c r="D82" s="20"/>
      <c r="E82" s="21" t="s">
        <v>20</v>
      </c>
      <c r="F82" s="22"/>
      <c r="G82" s="22"/>
      <c r="H82" s="22"/>
      <c r="I82" s="22"/>
      <c r="J82" s="22"/>
      <c r="K82" s="23"/>
      <c r="L82" s="61"/>
      <c r="M82" s="49"/>
      <c r="P82" s="67"/>
    </row>
    <row r="83" spans="3:16" s="60" customFormat="1" ht="12.75" x14ac:dyDescent="0.2">
      <c r="C83" s="9"/>
      <c r="D83" s="10" t="s">
        <v>139</v>
      </c>
      <c r="E83" s="37" t="s">
        <v>70</v>
      </c>
      <c r="F83" s="12" t="s">
        <v>140</v>
      </c>
      <c r="G83" s="13">
        <f t="shared" si="0"/>
        <v>0</v>
      </c>
      <c r="H83" s="15"/>
      <c r="I83" s="15"/>
      <c r="J83" s="15"/>
      <c r="K83" s="15"/>
      <c r="L83" s="61"/>
      <c r="M83" s="49"/>
      <c r="P83" s="67">
        <v>410</v>
      </c>
    </row>
    <row r="84" spans="3:16" s="60" customFormat="1" ht="12.75" x14ac:dyDescent="0.2">
      <c r="C84" s="9"/>
      <c r="D84" s="10" t="s">
        <v>141</v>
      </c>
      <c r="E84" s="11" t="s">
        <v>73</v>
      </c>
      <c r="F84" s="12" t="s">
        <v>142</v>
      </c>
      <c r="G84" s="13">
        <f t="shared" si="0"/>
        <v>3.7757782258064521</v>
      </c>
      <c r="H84" s="15">
        <f>H45/744</f>
        <v>1.1670389784946238</v>
      </c>
      <c r="I84" s="15">
        <f>I45/744</f>
        <v>1.244154569892473</v>
      </c>
      <c r="J84" s="15">
        <f>J45/744</f>
        <v>1.3645846774193549</v>
      </c>
      <c r="K84" s="15">
        <f>K45/744</f>
        <v>2.9605947323337506E-16</v>
      </c>
      <c r="L84" s="61"/>
      <c r="M84" s="49"/>
      <c r="P84" s="67">
        <v>440</v>
      </c>
    </row>
    <row r="85" spans="3:16" s="60" customFormat="1" ht="12.75" x14ac:dyDescent="0.2">
      <c r="C85" s="9"/>
      <c r="D85" s="10" t="s">
        <v>143</v>
      </c>
      <c r="E85" s="11" t="s">
        <v>76</v>
      </c>
      <c r="F85" s="12" t="s">
        <v>144</v>
      </c>
      <c r="G85" s="13">
        <f t="shared" si="0"/>
        <v>0</v>
      </c>
      <c r="H85" s="15"/>
      <c r="I85" s="15"/>
      <c r="J85" s="15"/>
      <c r="K85" s="15"/>
      <c r="L85" s="61"/>
      <c r="M85" s="49"/>
      <c r="P85" s="67">
        <v>450</v>
      </c>
    </row>
    <row r="86" spans="3:16" s="60" customFormat="1" ht="12.75" x14ac:dyDescent="0.2">
      <c r="C86" s="9"/>
      <c r="D86" s="10" t="s">
        <v>145</v>
      </c>
      <c r="E86" s="11" t="s">
        <v>79</v>
      </c>
      <c r="F86" s="12" t="s">
        <v>146</v>
      </c>
      <c r="G86" s="13">
        <f t="shared" si="0"/>
        <v>0</v>
      </c>
      <c r="H86" s="15"/>
      <c r="I86" s="15"/>
      <c r="J86" s="15"/>
      <c r="K86" s="15"/>
      <c r="L86" s="61"/>
      <c r="M86" s="49"/>
      <c r="P86" s="67">
        <v>470</v>
      </c>
    </row>
    <row r="87" spans="3:16" s="60" customFormat="1" ht="12.75" x14ac:dyDescent="0.2">
      <c r="C87" s="9"/>
      <c r="D87" s="10" t="s">
        <v>147</v>
      </c>
      <c r="E87" s="11" t="s">
        <v>82</v>
      </c>
      <c r="F87" s="12" t="s">
        <v>148</v>
      </c>
      <c r="G87" s="13">
        <f t="shared" si="0"/>
        <v>0.23012096774193549</v>
      </c>
      <c r="H87" s="15">
        <f>H48/744</f>
        <v>1.881720430107527E-5</v>
      </c>
      <c r="I87" s="15">
        <f>I48/744</f>
        <v>3.7034946236559139E-2</v>
      </c>
      <c r="J87" s="15">
        <f>J48/744</f>
        <v>0.13384946236559139</v>
      </c>
      <c r="K87" s="15">
        <f>K48/744</f>
        <v>5.9217741935483868E-2</v>
      </c>
      <c r="L87" s="61"/>
      <c r="M87" s="49"/>
      <c r="P87" s="67">
        <v>480</v>
      </c>
    </row>
    <row r="88" spans="3:16" s="60" customFormat="1" ht="12.75" x14ac:dyDescent="0.2">
      <c r="C88" s="9"/>
      <c r="D88" s="10" t="s">
        <v>149</v>
      </c>
      <c r="E88" s="14" t="s">
        <v>150</v>
      </c>
      <c r="F88" s="12" t="s">
        <v>151</v>
      </c>
      <c r="G88" s="13">
        <f t="shared" si="0"/>
        <v>0</v>
      </c>
      <c r="H88" s="15"/>
      <c r="I88" s="15"/>
      <c r="J88" s="15"/>
      <c r="K88" s="15"/>
      <c r="L88" s="61"/>
      <c r="M88" s="49"/>
      <c r="P88" s="67">
        <v>490</v>
      </c>
    </row>
    <row r="89" spans="3:16" s="60" customFormat="1" ht="22.5" x14ac:dyDescent="0.2">
      <c r="C89" s="9"/>
      <c r="D89" s="10" t="s">
        <v>152</v>
      </c>
      <c r="E89" s="11" t="s">
        <v>88</v>
      </c>
      <c r="F89" s="12" t="s">
        <v>153</v>
      </c>
      <c r="G89" s="13">
        <f t="shared" si="0"/>
        <v>0.18355779569892472</v>
      </c>
      <c r="H89" s="15"/>
      <c r="I89" s="15">
        <f>I50/744</f>
        <v>4.5302063978494622E-2</v>
      </c>
      <c r="J89" s="15">
        <f>J50/744</f>
        <v>6.0408870564516139E-2</v>
      </c>
      <c r="K89" s="15">
        <f>K50/744</f>
        <v>7.7846861155913979E-2</v>
      </c>
      <c r="L89" s="61"/>
      <c r="M89" s="49"/>
      <c r="P89" s="67"/>
    </row>
    <row r="90" spans="3:16" s="60" customFormat="1" ht="33.75" x14ac:dyDescent="0.2">
      <c r="C90" s="9"/>
      <c r="D90" s="10" t="s">
        <v>154</v>
      </c>
      <c r="E90" s="32" t="s">
        <v>91</v>
      </c>
      <c r="F90" s="12" t="s">
        <v>155</v>
      </c>
      <c r="G90" s="13">
        <f t="shared" si="0"/>
        <v>4.6563172043010741E-2</v>
      </c>
      <c r="H90" s="13">
        <f>H87-H89</f>
        <v>1.881720430107527E-5</v>
      </c>
      <c r="I90" s="13">
        <f>I87-I89</f>
        <v>-8.2671177419354827E-3</v>
      </c>
      <c r="J90" s="13">
        <f>J87-J89</f>
        <v>7.3440591801075261E-2</v>
      </c>
      <c r="K90" s="13">
        <f>K87-K89</f>
        <v>-1.8629119220430111E-2</v>
      </c>
      <c r="L90" s="61"/>
      <c r="M90" s="49"/>
      <c r="P90" s="67"/>
    </row>
    <row r="91" spans="3:16" s="60" customFormat="1" ht="12.75" x14ac:dyDescent="0.2">
      <c r="C91" s="9"/>
      <c r="D91" s="10" t="s">
        <v>156</v>
      </c>
      <c r="E91" s="11" t="s">
        <v>94</v>
      </c>
      <c r="F91" s="12" t="s">
        <v>157</v>
      </c>
      <c r="G91" s="13">
        <f t="shared" si="0"/>
        <v>0</v>
      </c>
      <c r="H91" s="13">
        <f>(H54+H67+H72)-(H73+H84+H85+H86+H87)</f>
        <v>0</v>
      </c>
      <c r="I91" s="13">
        <f>(I54+I67+I72)-(I73+I84+I85+I86+I87)</f>
        <v>0</v>
      </c>
      <c r="J91" s="13">
        <f>(J54+J67+J72)-(J73+J84+J85+J86+J87)</f>
        <v>0</v>
      </c>
      <c r="K91" s="13">
        <f>(K54+K67+K72)-(K73+K84+K85+K86+K87)</f>
        <v>0</v>
      </c>
      <c r="L91" s="61"/>
      <c r="M91" s="49"/>
      <c r="P91" s="67">
        <v>500</v>
      </c>
    </row>
    <row r="92" spans="3:16" s="60" customFormat="1" ht="12.75" x14ac:dyDescent="0.2">
      <c r="C92" s="9"/>
      <c r="D92" s="99" t="s">
        <v>158</v>
      </c>
      <c r="E92" s="100"/>
      <c r="F92" s="100"/>
      <c r="G92" s="100"/>
      <c r="H92" s="100"/>
      <c r="I92" s="100"/>
      <c r="J92" s="100"/>
      <c r="K92" s="101"/>
      <c r="L92" s="61"/>
      <c r="M92" s="49"/>
      <c r="P92" s="68"/>
    </row>
    <row r="93" spans="3:16" s="60" customFormat="1" ht="12.75" x14ac:dyDescent="0.2">
      <c r="C93" s="9"/>
      <c r="D93" s="10" t="s">
        <v>159</v>
      </c>
      <c r="E93" s="11" t="s">
        <v>160</v>
      </c>
      <c r="F93" s="12" t="s">
        <v>161</v>
      </c>
      <c r="G93" s="13">
        <f t="shared" si="0"/>
        <v>0</v>
      </c>
      <c r="H93" s="15"/>
      <c r="I93" s="15"/>
      <c r="J93" s="15"/>
      <c r="K93" s="15"/>
      <c r="L93" s="61"/>
      <c r="M93" s="49"/>
      <c r="P93" s="67">
        <v>600</v>
      </c>
    </row>
    <row r="94" spans="3:16" s="60" customFormat="1" ht="12.75" x14ac:dyDescent="0.2">
      <c r="C94" s="9"/>
      <c r="D94" s="10" t="s">
        <v>162</v>
      </c>
      <c r="E94" s="11" t="s">
        <v>163</v>
      </c>
      <c r="F94" s="12" t="s">
        <v>164</v>
      </c>
      <c r="G94" s="13">
        <f t="shared" si="0"/>
        <v>44.622999999999998</v>
      </c>
      <c r="H94" s="15"/>
      <c r="I94" s="15">
        <v>44.622999999999998</v>
      </c>
      <c r="J94" s="15"/>
      <c r="K94" s="15"/>
      <c r="L94" s="61"/>
      <c r="M94" s="49"/>
      <c r="P94" s="67">
        <v>610</v>
      </c>
    </row>
    <row r="95" spans="3:16" s="60" customFormat="1" ht="12.75" x14ac:dyDescent="0.2">
      <c r="C95" s="9"/>
      <c r="D95" s="10" t="s">
        <v>165</v>
      </c>
      <c r="E95" s="11" t="s">
        <v>166</v>
      </c>
      <c r="F95" s="12" t="s">
        <v>167</v>
      </c>
      <c r="G95" s="13">
        <f t="shared" si="0"/>
        <v>0</v>
      </c>
      <c r="H95" s="15"/>
      <c r="I95" s="15"/>
      <c r="J95" s="15"/>
      <c r="K95" s="15"/>
      <c r="L95" s="61"/>
      <c r="M95" s="49"/>
      <c r="P95" s="67">
        <v>620</v>
      </c>
    </row>
    <row r="96" spans="3:16" s="60" customFormat="1" ht="12.75" x14ac:dyDescent="0.2">
      <c r="C96" s="9"/>
      <c r="D96" s="99" t="s">
        <v>168</v>
      </c>
      <c r="E96" s="100"/>
      <c r="F96" s="100"/>
      <c r="G96" s="100"/>
      <c r="H96" s="100"/>
      <c r="I96" s="100"/>
      <c r="J96" s="100"/>
      <c r="K96" s="101"/>
      <c r="L96" s="61"/>
      <c r="M96" s="49"/>
      <c r="P96" s="68"/>
    </row>
    <row r="97" spans="3:16" s="60" customFormat="1" ht="12.75" x14ac:dyDescent="0.2">
      <c r="C97" s="9"/>
      <c r="D97" s="10" t="s">
        <v>169</v>
      </c>
      <c r="E97" s="11" t="s">
        <v>170</v>
      </c>
      <c r="F97" s="12" t="s">
        <v>171</v>
      </c>
      <c r="G97" s="13">
        <f t="shared" si="0"/>
        <v>0</v>
      </c>
      <c r="H97" s="13">
        <f>SUM(H98:H99)</f>
        <v>0</v>
      </c>
      <c r="I97" s="13">
        <f>SUM(I98:I99)</f>
        <v>0</v>
      </c>
      <c r="J97" s="13">
        <f>SUM(J98:J99)</f>
        <v>0</v>
      </c>
      <c r="K97" s="13">
        <f>SUM(K98:K99)</f>
        <v>0</v>
      </c>
      <c r="L97" s="61"/>
      <c r="M97" s="49"/>
      <c r="P97" s="67">
        <v>700</v>
      </c>
    </row>
    <row r="98" spans="3:16" ht="12.75" x14ac:dyDescent="0.2">
      <c r="C98" s="5"/>
      <c r="D98" s="39" t="s">
        <v>172</v>
      </c>
      <c r="E98" s="14" t="s">
        <v>173</v>
      </c>
      <c r="F98" s="12" t="s">
        <v>174</v>
      </c>
      <c r="G98" s="13">
        <f t="shared" si="0"/>
        <v>0</v>
      </c>
      <c r="H98" s="40"/>
      <c r="I98" s="40"/>
      <c r="J98" s="40"/>
      <c r="K98" s="40"/>
      <c r="L98" s="59"/>
      <c r="M98" s="49"/>
      <c r="P98" s="67">
        <v>710</v>
      </c>
    </row>
    <row r="99" spans="3:16" ht="12.75" x14ac:dyDescent="0.2">
      <c r="C99" s="5"/>
      <c r="D99" s="39" t="s">
        <v>175</v>
      </c>
      <c r="E99" s="14" t="s">
        <v>176</v>
      </c>
      <c r="F99" s="12" t="s">
        <v>177</v>
      </c>
      <c r="G99" s="13">
        <f t="shared" si="0"/>
        <v>0</v>
      </c>
      <c r="H99" s="41">
        <f>H102</f>
        <v>0</v>
      </c>
      <c r="I99" s="41">
        <f>I102</f>
        <v>0</v>
      </c>
      <c r="J99" s="41">
        <f>J102</f>
        <v>0</v>
      </c>
      <c r="K99" s="41">
        <f>K102</f>
        <v>0</v>
      </c>
      <c r="L99" s="59"/>
      <c r="M99" s="49"/>
      <c r="P99" s="67">
        <v>720</v>
      </c>
    </row>
    <row r="100" spans="3:16" ht="12.75" x14ac:dyDescent="0.2">
      <c r="C100" s="5"/>
      <c r="D100" s="39" t="s">
        <v>178</v>
      </c>
      <c r="E100" s="34" t="s">
        <v>179</v>
      </c>
      <c r="F100" s="12" t="s">
        <v>180</v>
      </c>
      <c r="G100" s="13">
        <f t="shared" si="0"/>
        <v>0</v>
      </c>
      <c r="H100" s="40"/>
      <c r="I100" s="40"/>
      <c r="J100" s="40"/>
      <c r="K100" s="40"/>
      <c r="L100" s="59"/>
      <c r="M100" s="49"/>
      <c r="P100" s="67">
        <v>730</v>
      </c>
    </row>
    <row r="101" spans="3:16" ht="12.75" x14ac:dyDescent="0.2">
      <c r="C101" s="5"/>
      <c r="D101" s="39" t="s">
        <v>181</v>
      </c>
      <c r="E101" s="35" t="s">
        <v>182</v>
      </c>
      <c r="F101" s="12" t="s">
        <v>183</v>
      </c>
      <c r="G101" s="13">
        <f t="shared" si="0"/>
        <v>0</v>
      </c>
      <c r="H101" s="40"/>
      <c r="I101" s="40"/>
      <c r="J101" s="40"/>
      <c r="K101" s="40"/>
      <c r="L101" s="59"/>
      <c r="M101" s="49"/>
      <c r="P101" s="67"/>
    </row>
    <row r="102" spans="3:16" ht="12.75" x14ac:dyDescent="0.2">
      <c r="C102" s="5"/>
      <c r="D102" s="39" t="s">
        <v>184</v>
      </c>
      <c r="E102" s="34" t="s">
        <v>185</v>
      </c>
      <c r="F102" s="12" t="s">
        <v>186</v>
      </c>
      <c r="G102" s="13">
        <f t="shared" si="0"/>
        <v>0</v>
      </c>
      <c r="H102" s="40"/>
      <c r="I102" s="40"/>
      <c r="J102" s="40"/>
      <c r="K102" s="40"/>
      <c r="L102" s="59"/>
      <c r="M102" s="49"/>
      <c r="P102" s="67">
        <v>740</v>
      </c>
    </row>
    <row r="103" spans="3:16" ht="12.75" x14ac:dyDescent="0.2">
      <c r="C103" s="5"/>
      <c r="D103" s="39" t="s">
        <v>187</v>
      </c>
      <c r="E103" s="11" t="s">
        <v>188</v>
      </c>
      <c r="F103" s="12" t="s">
        <v>189</v>
      </c>
      <c r="G103" s="13">
        <f t="shared" si="0"/>
        <v>0</v>
      </c>
      <c r="H103" s="41">
        <f>H104+H120</f>
        <v>0</v>
      </c>
      <c r="I103" s="41">
        <f>I104+I120</f>
        <v>0</v>
      </c>
      <c r="J103" s="41">
        <f>J104+J120</f>
        <v>0</v>
      </c>
      <c r="K103" s="41">
        <f>K104+K120</f>
        <v>0</v>
      </c>
      <c r="L103" s="59"/>
      <c r="M103" s="49"/>
      <c r="P103" s="67">
        <v>750</v>
      </c>
    </row>
    <row r="104" spans="3:16" ht="12.75" x14ac:dyDescent="0.2">
      <c r="C104" s="5"/>
      <c r="D104" s="39" t="s">
        <v>190</v>
      </c>
      <c r="E104" s="14" t="s">
        <v>191</v>
      </c>
      <c r="F104" s="12" t="s">
        <v>192</v>
      </c>
      <c r="G104" s="13">
        <f t="shared" si="0"/>
        <v>0</v>
      </c>
      <c r="H104" s="41">
        <f>H105+H106</f>
        <v>0</v>
      </c>
      <c r="I104" s="41">
        <f>I105+I106</f>
        <v>0</v>
      </c>
      <c r="J104" s="41">
        <f>J105+J106</f>
        <v>0</v>
      </c>
      <c r="K104" s="41">
        <f>K105+K106</f>
        <v>0</v>
      </c>
      <c r="L104" s="59"/>
      <c r="M104" s="49"/>
      <c r="P104" s="67">
        <v>760</v>
      </c>
    </row>
    <row r="105" spans="3:16" ht="12.75" x14ac:dyDescent="0.2">
      <c r="C105" s="5"/>
      <c r="D105" s="39" t="s">
        <v>193</v>
      </c>
      <c r="E105" s="34" t="s">
        <v>194</v>
      </c>
      <c r="F105" s="12" t="s">
        <v>195</v>
      </c>
      <c r="G105" s="13">
        <f t="shared" si="0"/>
        <v>0</v>
      </c>
      <c r="H105" s="40"/>
      <c r="I105" s="40"/>
      <c r="J105" s="40"/>
      <c r="K105" s="40"/>
      <c r="L105" s="59"/>
      <c r="M105" s="49"/>
      <c r="P105" s="67"/>
    </row>
    <row r="106" spans="3:16" ht="12.75" x14ac:dyDescent="0.2">
      <c r="C106" s="5"/>
      <c r="D106" s="39" t="s">
        <v>196</v>
      </c>
      <c r="E106" s="34" t="s">
        <v>197</v>
      </c>
      <c r="F106" s="12" t="s">
        <v>198</v>
      </c>
      <c r="G106" s="13">
        <f t="shared" si="0"/>
        <v>0</v>
      </c>
      <c r="H106" s="41">
        <f>H107+H110+H113+H116+H117+H118+H119</f>
        <v>0</v>
      </c>
      <c r="I106" s="41">
        <f>I107+I110+I113+I116+I117+I118+I119</f>
        <v>0</v>
      </c>
      <c r="J106" s="41">
        <f>J107+J110+J113+J116+J117+J118+J119</f>
        <v>0</v>
      </c>
      <c r="K106" s="41">
        <f>K107+K110+K113+K116+K117+K118+K119</f>
        <v>0</v>
      </c>
      <c r="L106" s="59"/>
      <c r="M106" s="49"/>
      <c r="P106" s="67"/>
    </row>
    <row r="107" spans="3:16" ht="45" x14ac:dyDescent="0.2">
      <c r="C107" s="5"/>
      <c r="D107" s="39" t="s">
        <v>199</v>
      </c>
      <c r="E107" s="35" t="s">
        <v>200</v>
      </c>
      <c r="F107" s="12" t="s">
        <v>201</v>
      </c>
      <c r="G107" s="13">
        <f t="shared" si="0"/>
        <v>0</v>
      </c>
      <c r="H107" s="42">
        <f>H108+H109</f>
        <v>0</v>
      </c>
      <c r="I107" s="42">
        <f>I108+I109</f>
        <v>0</v>
      </c>
      <c r="J107" s="42">
        <f>J108+J109</f>
        <v>0</v>
      </c>
      <c r="K107" s="42">
        <f>K108+K109</f>
        <v>0</v>
      </c>
      <c r="L107" s="59"/>
      <c r="M107" s="49"/>
      <c r="P107" s="67"/>
    </row>
    <row r="108" spans="3:16" ht="12.75" x14ac:dyDescent="0.2">
      <c r="C108" s="5"/>
      <c r="D108" s="39" t="s">
        <v>202</v>
      </c>
      <c r="E108" s="43" t="s">
        <v>203</v>
      </c>
      <c r="F108" s="12" t="s">
        <v>204</v>
      </c>
      <c r="G108" s="13">
        <f t="shared" si="0"/>
        <v>0</v>
      </c>
      <c r="H108" s="40"/>
      <c r="I108" s="40"/>
      <c r="J108" s="40"/>
      <c r="K108" s="40"/>
      <c r="L108" s="59"/>
      <c r="M108" s="49"/>
      <c r="P108" s="67"/>
    </row>
    <row r="109" spans="3:16" ht="12.75" x14ac:dyDescent="0.2">
      <c r="C109" s="5"/>
      <c r="D109" s="39" t="s">
        <v>205</v>
      </c>
      <c r="E109" s="43" t="s">
        <v>206</v>
      </c>
      <c r="F109" s="12" t="s">
        <v>207</v>
      </c>
      <c r="G109" s="13">
        <f t="shared" si="0"/>
        <v>0</v>
      </c>
      <c r="H109" s="40"/>
      <c r="I109" s="40"/>
      <c r="J109" s="40"/>
      <c r="K109" s="40"/>
      <c r="L109" s="59"/>
      <c r="M109" s="49"/>
      <c r="P109" s="67"/>
    </row>
    <row r="110" spans="3:16" ht="45" x14ac:dyDescent="0.2">
      <c r="C110" s="5"/>
      <c r="D110" s="39" t="s">
        <v>208</v>
      </c>
      <c r="E110" s="35" t="s">
        <v>209</v>
      </c>
      <c r="F110" s="12" t="s">
        <v>210</v>
      </c>
      <c r="G110" s="13">
        <f t="shared" si="0"/>
        <v>0</v>
      </c>
      <c r="H110" s="42">
        <f>H111+H112</f>
        <v>0</v>
      </c>
      <c r="I110" s="42">
        <f>I111+I112</f>
        <v>0</v>
      </c>
      <c r="J110" s="42">
        <f>J111+J112</f>
        <v>0</v>
      </c>
      <c r="K110" s="42">
        <f>K111+K112</f>
        <v>0</v>
      </c>
      <c r="L110" s="59"/>
      <c r="M110" s="49"/>
      <c r="P110" s="67"/>
    </row>
    <row r="111" spans="3:16" ht="12.75" x14ac:dyDescent="0.2">
      <c r="C111" s="5"/>
      <c r="D111" s="39" t="s">
        <v>211</v>
      </c>
      <c r="E111" s="43" t="s">
        <v>203</v>
      </c>
      <c r="F111" s="12" t="s">
        <v>212</v>
      </c>
      <c r="G111" s="13">
        <f t="shared" si="0"/>
        <v>0</v>
      </c>
      <c r="H111" s="40"/>
      <c r="I111" s="40"/>
      <c r="J111" s="40"/>
      <c r="K111" s="40"/>
      <c r="L111" s="59"/>
      <c r="M111" s="49"/>
      <c r="P111" s="67"/>
    </row>
    <row r="112" spans="3:16" ht="12.75" x14ac:dyDescent="0.2">
      <c r="C112" s="5"/>
      <c r="D112" s="39" t="s">
        <v>213</v>
      </c>
      <c r="E112" s="43" t="s">
        <v>206</v>
      </c>
      <c r="F112" s="12" t="s">
        <v>214</v>
      </c>
      <c r="G112" s="13">
        <f t="shared" si="0"/>
        <v>0</v>
      </c>
      <c r="H112" s="40"/>
      <c r="I112" s="40"/>
      <c r="J112" s="40"/>
      <c r="K112" s="40"/>
      <c r="L112" s="59"/>
      <c r="M112" s="49"/>
      <c r="P112" s="67"/>
    </row>
    <row r="113" spans="3:16" ht="22.5" x14ac:dyDescent="0.2">
      <c r="C113" s="5"/>
      <c r="D113" s="39" t="s">
        <v>215</v>
      </c>
      <c r="E113" s="35" t="s">
        <v>216</v>
      </c>
      <c r="F113" s="12" t="s">
        <v>217</v>
      </c>
      <c r="G113" s="13">
        <f t="shared" si="0"/>
        <v>0</v>
      </c>
      <c r="H113" s="42">
        <f>H114+H115</f>
        <v>0</v>
      </c>
      <c r="I113" s="42">
        <f>I114+I115</f>
        <v>0</v>
      </c>
      <c r="J113" s="42">
        <f>J114+J115</f>
        <v>0</v>
      </c>
      <c r="K113" s="42">
        <f>K114+K115</f>
        <v>0</v>
      </c>
      <c r="L113" s="59"/>
      <c r="M113" s="49"/>
      <c r="P113" s="67"/>
    </row>
    <row r="114" spans="3:16" ht="12.75" x14ac:dyDescent="0.2">
      <c r="C114" s="5"/>
      <c r="D114" s="39" t="s">
        <v>218</v>
      </c>
      <c r="E114" s="43" t="s">
        <v>203</v>
      </c>
      <c r="F114" s="12" t="s">
        <v>219</v>
      </c>
      <c r="G114" s="13">
        <f t="shared" si="0"/>
        <v>0</v>
      </c>
      <c r="H114" s="40"/>
      <c r="I114" s="40"/>
      <c r="J114" s="40"/>
      <c r="K114" s="40"/>
      <c r="L114" s="59"/>
      <c r="M114" s="49"/>
      <c r="P114" s="67"/>
    </row>
    <row r="115" spans="3:16" ht="12.75" x14ac:dyDescent="0.2">
      <c r="C115" s="5"/>
      <c r="D115" s="39" t="s">
        <v>220</v>
      </c>
      <c r="E115" s="43" t="s">
        <v>206</v>
      </c>
      <c r="F115" s="12" t="s">
        <v>221</v>
      </c>
      <c r="G115" s="13">
        <f t="shared" si="0"/>
        <v>0</v>
      </c>
      <c r="H115" s="40"/>
      <c r="I115" s="40"/>
      <c r="J115" s="40"/>
      <c r="K115" s="40"/>
      <c r="L115" s="59"/>
      <c r="M115" s="49"/>
      <c r="P115" s="67"/>
    </row>
    <row r="116" spans="3:16" ht="22.5" x14ac:dyDescent="0.2">
      <c r="C116" s="5"/>
      <c r="D116" s="39" t="s">
        <v>222</v>
      </c>
      <c r="E116" s="35" t="s">
        <v>223</v>
      </c>
      <c r="F116" s="12" t="s">
        <v>224</v>
      </c>
      <c r="G116" s="13">
        <f t="shared" si="0"/>
        <v>0</v>
      </c>
      <c r="H116" s="40"/>
      <c r="I116" s="40"/>
      <c r="J116" s="40"/>
      <c r="K116" s="40"/>
      <c r="L116" s="59"/>
      <c r="M116" s="49"/>
      <c r="P116" s="67"/>
    </row>
    <row r="117" spans="3:16" ht="12.75" x14ac:dyDescent="0.2">
      <c r="C117" s="5"/>
      <c r="D117" s="39" t="s">
        <v>225</v>
      </c>
      <c r="E117" s="35" t="s">
        <v>226</v>
      </c>
      <c r="F117" s="12" t="s">
        <v>227</v>
      </c>
      <c r="G117" s="13">
        <f t="shared" si="0"/>
        <v>0</v>
      </c>
      <c r="H117" s="40"/>
      <c r="I117" s="40"/>
      <c r="J117" s="40"/>
      <c r="K117" s="40"/>
      <c r="L117" s="59"/>
      <c r="M117" s="49"/>
      <c r="P117" s="67"/>
    </row>
    <row r="118" spans="3:16" ht="45" x14ac:dyDescent="0.2">
      <c r="C118" s="5"/>
      <c r="D118" s="39" t="s">
        <v>228</v>
      </c>
      <c r="E118" s="35" t="s">
        <v>229</v>
      </c>
      <c r="F118" s="12" t="s">
        <v>230</v>
      </c>
      <c r="G118" s="13">
        <f t="shared" si="0"/>
        <v>0</v>
      </c>
      <c r="H118" s="40"/>
      <c r="I118" s="40"/>
      <c r="J118" s="40"/>
      <c r="K118" s="40"/>
      <c r="L118" s="59"/>
      <c r="M118" s="49"/>
      <c r="P118" s="67"/>
    </row>
    <row r="119" spans="3:16" ht="22.5" x14ac:dyDescent="0.2">
      <c r="C119" s="5"/>
      <c r="D119" s="39" t="s">
        <v>231</v>
      </c>
      <c r="E119" s="35" t="s">
        <v>232</v>
      </c>
      <c r="F119" s="12" t="s">
        <v>233</v>
      </c>
      <c r="G119" s="13">
        <f t="shared" si="0"/>
        <v>0</v>
      </c>
      <c r="H119" s="40"/>
      <c r="I119" s="40"/>
      <c r="J119" s="40"/>
      <c r="K119" s="40"/>
      <c r="L119" s="59"/>
      <c r="M119" s="49"/>
      <c r="P119" s="67"/>
    </row>
    <row r="120" spans="3:16" ht="12.75" x14ac:dyDescent="0.2">
      <c r="C120" s="5"/>
      <c r="D120" s="39" t="s">
        <v>234</v>
      </c>
      <c r="E120" s="14" t="s">
        <v>235</v>
      </c>
      <c r="F120" s="12" t="s">
        <v>236</v>
      </c>
      <c r="G120" s="13">
        <f t="shared" si="0"/>
        <v>0</v>
      </c>
      <c r="H120" s="41">
        <f>H123</f>
        <v>0</v>
      </c>
      <c r="I120" s="41">
        <f>I123</f>
        <v>0</v>
      </c>
      <c r="J120" s="41">
        <f>J123</f>
        <v>0</v>
      </c>
      <c r="K120" s="41">
        <f>K123</f>
        <v>0</v>
      </c>
      <c r="L120" s="59"/>
      <c r="M120" s="49"/>
      <c r="P120" s="67">
        <v>770</v>
      </c>
    </row>
    <row r="121" spans="3:16" ht="12.75" x14ac:dyDescent="0.2">
      <c r="C121" s="5"/>
      <c r="D121" s="39" t="s">
        <v>237</v>
      </c>
      <c r="E121" s="34" t="s">
        <v>179</v>
      </c>
      <c r="F121" s="12" t="s">
        <v>238</v>
      </c>
      <c r="G121" s="13">
        <f t="shared" si="0"/>
        <v>0</v>
      </c>
      <c r="H121" s="40"/>
      <c r="I121" s="40"/>
      <c r="J121" s="40"/>
      <c r="K121" s="40"/>
      <c r="L121" s="59"/>
      <c r="M121" s="49"/>
      <c r="P121" s="67">
        <v>780</v>
      </c>
    </row>
    <row r="122" spans="3:16" ht="12.75" x14ac:dyDescent="0.2">
      <c r="C122" s="5"/>
      <c r="D122" s="39" t="s">
        <v>239</v>
      </c>
      <c r="E122" s="35" t="s">
        <v>240</v>
      </c>
      <c r="F122" s="12" t="s">
        <v>241</v>
      </c>
      <c r="G122" s="13">
        <f t="shared" si="0"/>
        <v>0</v>
      </c>
      <c r="H122" s="40"/>
      <c r="I122" s="40"/>
      <c r="J122" s="40"/>
      <c r="K122" s="40"/>
      <c r="L122" s="59"/>
      <c r="M122" s="49"/>
      <c r="P122" s="67"/>
    </row>
    <row r="123" spans="3:16" ht="12.75" x14ac:dyDescent="0.2">
      <c r="C123" s="5"/>
      <c r="D123" s="39" t="s">
        <v>242</v>
      </c>
      <c r="E123" s="34" t="s">
        <v>185</v>
      </c>
      <c r="F123" s="12" t="s">
        <v>243</v>
      </c>
      <c r="G123" s="13">
        <f t="shared" si="0"/>
        <v>0</v>
      </c>
      <c r="H123" s="40"/>
      <c r="I123" s="40"/>
      <c r="J123" s="40"/>
      <c r="K123" s="40"/>
      <c r="L123" s="59"/>
      <c r="M123" s="49"/>
      <c r="P123" s="67">
        <v>790</v>
      </c>
    </row>
    <row r="124" spans="3:16" ht="22.5" x14ac:dyDescent="0.2">
      <c r="C124" s="5"/>
      <c r="D124" s="39" t="s">
        <v>244</v>
      </c>
      <c r="E124" s="32" t="s">
        <v>245</v>
      </c>
      <c r="F124" s="12" t="s">
        <v>246</v>
      </c>
      <c r="G124" s="13">
        <f t="shared" si="0"/>
        <v>6452.8329999999996</v>
      </c>
      <c r="H124" s="41">
        <f>SUM(H125:H126)</f>
        <v>1.4E-2</v>
      </c>
      <c r="I124" s="41">
        <f>SUM(I125:I126)</f>
        <v>4066.3719999999998</v>
      </c>
      <c r="J124" s="41">
        <f>SUM(J125:J126)</f>
        <v>1415.2539999999999</v>
      </c>
      <c r="K124" s="41">
        <f>SUM(K125:K126)</f>
        <v>971.19299999999998</v>
      </c>
      <c r="L124" s="59"/>
      <c r="M124" s="49"/>
      <c r="P124" s="67"/>
    </row>
    <row r="125" spans="3:16" ht="12.75" x14ac:dyDescent="0.2">
      <c r="C125" s="5"/>
      <c r="D125" s="39" t="s">
        <v>247</v>
      </c>
      <c r="E125" s="14" t="s">
        <v>173</v>
      </c>
      <c r="F125" s="12" t="s">
        <v>248</v>
      </c>
      <c r="G125" s="13">
        <f t="shared" si="0"/>
        <v>0</v>
      </c>
      <c r="H125" s="40"/>
      <c r="I125" s="40"/>
      <c r="J125" s="40"/>
      <c r="K125" s="40"/>
      <c r="L125" s="59"/>
      <c r="M125" s="49"/>
      <c r="P125" s="67"/>
    </row>
    <row r="126" spans="3:16" ht="12.75" x14ac:dyDescent="0.2">
      <c r="C126" s="5"/>
      <c r="D126" s="39" t="s">
        <v>249</v>
      </c>
      <c r="E126" s="14" t="s">
        <v>176</v>
      </c>
      <c r="F126" s="12" t="s">
        <v>250</v>
      </c>
      <c r="G126" s="13">
        <f t="shared" si="0"/>
        <v>6452.8329999999996</v>
      </c>
      <c r="H126" s="41">
        <f>H128</f>
        <v>1.4E-2</v>
      </c>
      <c r="I126" s="41">
        <f>I128</f>
        <v>4066.3719999999998</v>
      </c>
      <c r="J126" s="41">
        <f>J128</f>
        <v>1415.2539999999999</v>
      </c>
      <c r="K126" s="41">
        <f>K128</f>
        <v>971.19299999999998</v>
      </c>
      <c r="L126" s="59"/>
      <c r="M126" s="49"/>
      <c r="P126" s="67"/>
    </row>
    <row r="127" spans="3:16" ht="12.75" x14ac:dyDescent="0.2">
      <c r="C127" s="5"/>
      <c r="D127" s="39" t="s">
        <v>251</v>
      </c>
      <c r="E127" s="34" t="s">
        <v>252</v>
      </c>
      <c r="F127" s="12" t="s">
        <v>253</v>
      </c>
      <c r="G127" s="13">
        <f t="shared" si="0"/>
        <v>44.622999999999998</v>
      </c>
      <c r="H127" s="40"/>
      <c r="I127" s="40">
        <f>I94</f>
        <v>44.622999999999998</v>
      </c>
      <c r="J127" s="40"/>
      <c r="K127" s="40"/>
      <c r="L127" s="59"/>
      <c r="M127" s="49"/>
      <c r="P127" s="67"/>
    </row>
    <row r="128" spans="3:16" ht="12.75" x14ac:dyDescent="0.2">
      <c r="C128" s="5"/>
      <c r="D128" s="39" t="s">
        <v>254</v>
      </c>
      <c r="E128" s="34" t="s">
        <v>185</v>
      </c>
      <c r="F128" s="12" t="s">
        <v>255</v>
      </c>
      <c r="G128" s="13">
        <f t="shared" si="0"/>
        <v>6452.8329999999996</v>
      </c>
      <c r="H128" s="40">
        <f>H48+H34</f>
        <v>1.4E-2</v>
      </c>
      <c r="I128" s="40">
        <f>I34+169.676</f>
        <v>4066.3719999999998</v>
      </c>
      <c r="J128" s="40">
        <f>J34+1.52</f>
        <v>1415.2539999999999</v>
      </c>
      <c r="K128" s="40">
        <f>K34</f>
        <v>971.19299999999998</v>
      </c>
      <c r="L128" s="59"/>
      <c r="M128" s="49"/>
      <c r="P128" s="67"/>
    </row>
    <row r="129" spans="3:16" ht="12.75" x14ac:dyDescent="0.2">
      <c r="C129" s="5"/>
      <c r="D129" s="99" t="s">
        <v>256</v>
      </c>
      <c r="E129" s="100"/>
      <c r="F129" s="100"/>
      <c r="G129" s="100"/>
      <c r="H129" s="100"/>
      <c r="I129" s="100"/>
      <c r="J129" s="100"/>
      <c r="K129" s="101"/>
      <c r="L129" s="59"/>
      <c r="M129" s="49"/>
      <c r="P129" s="71"/>
    </row>
    <row r="130" spans="3:16" ht="22.5" x14ac:dyDescent="0.2">
      <c r="C130" s="5"/>
      <c r="D130" s="39" t="s">
        <v>257</v>
      </c>
      <c r="E130" s="11" t="s">
        <v>258</v>
      </c>
      <c r="F130" s="12" t="s">
        <v>259</v>
      </c>
      <c r="G130" s="13">
        <f t="shared" si="0"/>
        <v>0</v>
      </c>
      <c r="H130" s="41">
        <f>SUM( H131:H132)</f>
        <v>0</v>
      </c>
      <c r="I130" s="41">
        <f>SUM( I131:I132)</f>
        <v>0</v>
      </c>
      <c r="J130" s="41">
        <f>SUM( J131:J132)</f>
        <v>0</v>
      </c>
      <c r="K130" s="41">
        <f>SUM( K131:K132)</f>
        <v>0</v>
      </c>
      <c r="L130" s="59"/>
      <c r="M130" s="49"/>
      <c r="P130" s="67">
        <v>800</v>
      </c>
    </row>
    <row r="131" spans="3:16" ht="12.75" x14ac:dyDescent="0.2">
      <c r="C131" s="5"/>
      <c r="D131" s="39" t="s">
        <v>260</v>
      </c>
      <c r="E131" s="14" t="s">
        <v>173</v>
      </c>
      <c r="F131" s="12" t="s">
        <v>261</v>
      </c>
      <c r="G131" s="13">
        <f t="shared" si="0"/>
        <v>0</v>
      </c>
      <c r="H131" s="40"/>
      <c r="I131" s="40"/>
      <c r="J131" s="40"/>
      <c r="K131" s="40"/>
      <c r="L131" s="59"/>
      <c r="M131" s="49"/>
      <c r="P131" s="67">
        <v>810</v>
      </c>
    </row>
    <row r="132" spans="3:16" ht="12.75" x14ac:dyDescent="0.2">
      <c r="C132" s="5"/>
      <c r="D132" s="39" t="s">
        <v>262</v>
      </c>
      <c r="E132" s="14" t="s">
        <v>176</v>
      </c>
      <c r="F132" s="12" t="s">
        <v>263</v>
      </c>
      <c r="G132" s="13">
        <f t="shared" si="0"/>
        <v>0</v>
      </c>
      <c r="H132" s="41">
        <f>H133+H135</f>
        <v>0</v>
      </c>
      <c r="I132" s="41">
        <f>I133+I135</f>
        <v>0</v>
      </c>
      <c r="J132" s="41">
        <f>J133+J135</f>
        <v>0</v>
      </c>
      <c r="K132" s="41">
        <f>K133+K135</f>
        <v>0</v>
      </c>
      <c r="L132" s="59"/>
      <c r="M132" s="49"/>
      <c r="P132" s="67">
        <v>820</v>
      </c>
    </row>
    <row r="133" spans="3:16" ht="12.75" x14ac:dyDescent="0.2">
      <c r="C133" s="5"/>
      <c r="D133" s="39" t="s">
        <v>264</v>
      </c>
      <c r="E133" s="34" t="s">
        <v>265</v>
      </c>
      <c r="F133" s="12" t="s">
        <v>266</v>
      </c>
      <c r="G133" s="13">
        <f t="shared" si="0"/>
        <v>0</v>
      </c>
      <c r="H133" s="40"/>
      <c r="I133" s="40"/>
      <c r="J133" s="40"/>
      <c r="K133" s="40"/>
      <c r="L133" s="59"/>
      <c r="M133" s="49"/>
      <c r="P133" s="67">
        <v>830</v>
      </c>
    </row>
    <row r="134" spans="3:16" ht="12.75" x14ac:dyDescent="0.2">
      <c r="C134" s="5"/>
      <c r="D134" s="39" t="s">
        <v>267</v>
      </c>
      <c r="E134" s="35" t="s">
        <v>268</v>
      </c>
      <c r="F134" s="12" t="s">
        <v>269</v>
      </c>
      <c r="G134" s="13">
        <f t="shared" si="0"/>
        <v>0</v>
      </c>
      <c r="H134" s="40"/>
      <c r="I134" s="40"/>
      <c r="J134" s="40"/>
      <c r="K134" s="40"/>
      <c r="L134" s="59"/>
      <c r="M134" s="49"/>
      <c r="P134" s="71"/>
    </row>
    <row r="135" spans="3:16" ht="12.75" x14ac:dyDescent="0.2">
      <c r="C135" s="5"/>
      <c r="D135" s="39" t="s">
        <v>270</v>
      </c>
      <c r="E135" s="34" t="s">
        <v>271</v>
      </c>
      <c r="F135" s="12" t="s">
        <v>272</v>
      </c>
      <c r="G135" s="13">
        <f t="shared" si="0"/>
        <v>0</v>
      </c>
      <c r="H135" s="40"/>
      <c r="I135" s="40"/>
      <c r="J135" s="40"/>
      <c r="K135" s="40"/>
      <c r="L135" s="59"/>
      <c r="M135" s="49"/>
      <c r="P135" s="67">
        <v>840</v>
      </c>
    </row>
    <row r="136" spans="3:16" ht="12.75" x14ac:dyDescent="0.2">
      <c r="C136" s="5"/>
      <c r="D136" s="39" t="s">
        <v>19</v>
      </c>
      <c r="E136" s="11" t="s">
        <v>273</v>
      </c>
      <c r="F136" s="12" t="s">
        <v>274</v>
      </c>
      <c r="G136" s="13">
        <f t="shared" si="0"/>
        <v>0</v>
      </c>
      <c r="H136" s="42">
        <f>SUM( H137+H142)</f>
        <v>0</v>
      </c>
      <c r="I136" s="42">
        <f>SUM( I137+I142)</f>
        <v>0</v>
      </c>
      <c r="J136" s="42">
        <f>SUM( J137+J142)</f>
        <v>0</v>
      </c>
      <c r="K136" s="42">
        <f>SUM( K137+K142)</f>
        <v>0</v>
      </c>
      <c r="L136" s="62"/>
      <c r="M136" s="49"/>
      <c r="P136" s="67">
        <v>850</v>
      </c>
    </row>
    <row r="137" spans="3:16" ht="12.75" x14ac:dyDescent="0.2">
      <c r="C137" s="5"/>
      <c r="D137" s="39" t="s">
        <v>275</v>
      </c>
      <c r="E137" s="14" t="s">
        <v>173</v>
      </c>
      <c r="F137" s="12" t="s">
        <v>276</v>
      </c>
      <c r="G137" s="13">
        <f t="shared" ref="G137:G150" si="1">SUM(H137:K137)</f>
        <v>0</v>
      </c>
      <c r="H137" s="42">
        <f>SUM( H138:H139)</f>
        <v>0</v>
      </c>
      <c r="I137" s="42">
        <f>SUM( I138:I139)</f>
        <v>0</v>
      </c>
      <c r="J137" s="42">
        <f>SUM( J138:J139)</f>
        <v>0</v>
      </c>
      <c r="K137" s="42">
        <f>SUM( K138:K139)</f>
        <v>0</v>
      </c>
      <c r="L137" s="62"/>
      <c r="M137" s="49"/>
      <c r="P137" s="67">
        <v>860</v>
      </c>
    </row>
    <row r="138" spans="3:16" ht="12.75" x14ac:dyDescent="0.2">
      <c r="C138" s="5"/>
      <c r="D138" s="39" t="s">
        <v>277</v>
      </c>
      <c r="E138" s="34" t="s">
        <v>194</v>
      </c>
      <c r="F138" s="12" t="s">
        <v>278</v>
      </c>
      <c r="G138" s="13">
        <f t="shared" si="1"/>
        <v>0</v>
      </c>
      <c r="H138" s="44"/>
      <c r="I138" s="44"/>
      <c r="J138" s="44"/>
      <c r="K138" s="44"/>
      <c r="L138" s="62"/>
      <c r="M138" s="49"/>
      <c r="P138" s="67"/>
    </row>
    <row r="139" spans="3:16" ht="12.75" x14ac:dyDescent="0.2">
      <c r="C139" s="5"/>
      <c r="D139" s="39" t="s">
        <v>279</v>
      </c>
      <c r="E139" s="34" t="s">
        <v>197</v>
      </c>
      <c r="F139" s="12" t="s">
        <v>280</v>
      </c>
      <c r="G139" s="13">
        <f t="shared" si="1"/>
        <v>0</v>
      </c>
      <c r="H139" s="42">
        <f>H140+H141</f>
        <v>0</v>
      </c>
      <c r="I139" s="42">
        <f>I140+I141</f>
        <v>0</v>
      </c>
      <c r="J139" s="42">
        <f>J140+J141</f>
        <v>0</v>
      </c>
      <c r="K139" s="42">
        <f>K140+K141</f>
        <v>0</v>
      </c>
      <c r="L139" s="62"/>
      <c r="M139" s="49"/>
      <c r="P139" s="67"/>
    </row>
    <row r="140" spans="3:16" ht="12.75" x14ac:dyDescent="0.2">
      <c r="C140" s="5"/>
      <c r="D140" s="39" t="s">
        <v>281</v>
      </c>
      <c r="E140" s="35" t="s">
        <v>203</v>
      </c>
      <c r="F140" s="12" t="s">
        <v>282</v>
      </c>
      <c r="G140" s="13">
        <f t="shared" si="1"/>
        <v>0</v>
      </c>
      <c r="H140" s="44"/>
      <c r="I140" s="44"/>
      <c r="J140" s="44"/>
      <c r="K140" s="44"/>
      <c r="L140" s="62"/>
      <c r="M140" s="49"/>
      <c r="P140" s="67"/>
    </row>
    <row r="141" spans="3:16" ht="12.75" x14ac:dyDescent="0.2">
      <c r="C141" s="5"/>
      <c r="D141" s="39" t="s">
        <v>283</v>
      </c>
      <c r="E141" s="35" t="s">
        <v>284</v>
      </c>
      <c r="F141" s="12" t="s">
        <v>285</v>
      </c>
      <c r="G141" s="13">
        <f t="shared" si="1"/>
        <v>0</v>
      </c>
      <c r="H141" s="44"/>
      <c r="I141" s="44"/>
      <c r="J141" s="44"/>
      <c r="K141" s="44"/>
      <c r="L141" s="62"/>
      <c r="M141" s="49"/>
      <c r="P141" s="67"/>
    </row>
    <row r="142" spans="3:16" ht="12.75" x14ac:dyDescent="0.2">
      <c r="C142" s="5"/>
      <c r="D142" s="39" t="s">
        <v>286</v>
      </c>
      <c r="E142" s="14" t="s">
        <v>235</v>
      </c>
      <c r="F142" s="12" t="s">
        <v>287</v>
      </c>
      <c r="G142" s="13">
        <f t="shared" si="1"/>
        <v>0</v>
      </c>
      <c r="H142" s="42">
        <f>H143+H145</f>
        <v>0</v>
      </c>
      <c r="I142" s="42">
        <f>I143+I145</f>
        <v>0</v>
      </c>
      <c r="J142" s="42">
        <f>J143+J145</f>
        <v>0</v>
      </c>
      <c r="K142" s="42">
        <f>K143+K145</f>
        <v>0</v>
      </c>
      <c r="L142" s="62"/>
      <c r="M142" s="49"/>
      <c r="P142" s="67">
        <v>870</v>
      </c>
    </row>
    <row r="143" spans="3:16" ht="12.75" x14ac:dyDescent="0.2">
      <c r="C143" s="5"/>
      <c r="D143" s="39" t="s">
        <v>288</v>
      </c>
      <c r="E143" s="34" t="s">
        <v>265</v>
      </c>
      <c r="F143" s="12" t="s">
        <v>289</v>
      </c>
      <c r="G143" s="13">
        <f t="shared" si="1"/>
        <v>0</v>
      </c>
      <c r="H143" s="40"/>
      <c r="I143" s="40"/>
      <c r="J143" s="40"/>
      <c r="K143" s="40"/>
      <c r="L143" s="62"/>
      <c r="M143" s="49"/>
      <c r="P143" s="67">
        <v>880</v>
      </c>
    </row>
    <row r="144" spans="3:16" ht="12.75" x14ac:dyDescent="0.2">
      <c r="C144" s="5"/>
      <c r="D144" s="39" t="s">
        <v>290</v>
      </c>
      <c r="E144" s="35" t="s">
        <v>268</v>
      </c>
      <c r="F144" s="12" t="s">
        <v>291</v>
      </c>
      <c r="G144" s="13">
        <f t="shared" si="1"/>
        <v>0</v>
      </c>
      <c r="H144" s="40"/>
      <c r="I144" s="40"/>
      <c r="J144" s="40"/>
      <c r="K144" s="40"/>
      <c r="L144" s="62"/>
      <c r="M144" s="49"/>
      <c r="P144" s="67"/>
    </row>
    <row r="145" spans="3:19" ht="12.75" x14ac:dyDescent="0.2">
      <c r="C145" s="5"/>
      <c r="D145" s="39" t="s">
        <v>292</v>
      </c>
      <c r="E145" s="34" t="s">
        <v>271</v>
      </c>
      <c r="F145" s="12" t="s">
        <v>293</v>
      </c>
      <c r="G145" s="13">
        <f t="shared" si="1"/>
        <v>0</v>
      </c>
      <c r="H145" s="45"/>
      <c r="I145" s="45"/>
      <c r="J145" s="45"/>
      <c r="K145" s="45"/>
      <c r="L145" s="62"/>
      <c r="M145" s="49"/>
      <c r="P145" s="67">
        <v>890</v>
      </c>
    </row>
    <row r="146" spans="3:19" ht="22.5" x14ac:dyDescent="0.2">
      <c r="C146" s="5"/>
      <c r="D146" s="39" t="s">
        <v>294</v>
      </c>
      <c r="E146" s="11" t="s">
        <v>295</v>
      </c>
      <c r="F146" s="12" t="s">
        <v>296</v>
      </c>
      <c r="G146" s="13">
        <f t="shared" si="1"/>
        <v>3703.0397374559998</v>
      </c>
      <c r="H146" s="46">
        <f>SUM( H147:H148)</f>
        <v>1.4859599999999999E-3</v>
      </c>
      <c r="I146" s="46">
        <f>SUM( I147:I148)</f>
        <v>3449.7407669159998</v>
      </c>
      <c r="J146" s="46">
        <f>SUM( J147:J148)</f>
        <v>150.21505955999999</v>
      </c>
      <c r="K146" s="46">
        <f>SUM( K147:K148)</f>
        <v>103.08242502</v>
      </c>
      <c r="L146" s="62"/>
      <c r="M146" s="49"/>
      <c r="P146" s="67">
        <v>900</v>
      </c>
    </row>
    <row r="147" spans="3:19" ht="12.75" x14ac:dyDescent="0.2">
      <c r="C147" s="5"/>
      <c r="D147" s="39" t="s">
        <v>297</v>
      </c>
      <c r="E147" s="14" t="s">
        <v>173</v>
      </c>
      <c r="F147" s="12" t="s">
        <v>298</v>
      </c>
      <c r="G147" s="13">
        <f t="shared" si="1"/>
        <v>0</v>
      </c>
      <c r="H147" s="45"/>
      <c r="I147" s="45"/>
      <c r="J147" s="45"/>
      <c r="K147" s="45"/>
      <c r="L147" s="62"/>
      <c r="M147" s="49"/>
      <c r="P147" s="67"/>
    </row>
    <row r="148" spans="3:19" ht="12.75" x14ac:dyDescent="0.2">
      <c r="C148" s="5"/>
      <c r="D148" s="39" t="s">
        <v>299</v>
      </c>
      <c r="E148" s="14" t="s">
        <v>176</v>
      </c>
      <c r="F148" s="12" t="s">
        <v>300</v>
      </c>
      <c r="G148" s="13">
        <f t="shared" si="1"/>
        <v>3703.0397374559998</v>
      </c>
      <c r="H148" s="46">
        <f>H149+H150</f>
        <v>1.4859599999999999E-3</v>
      </c>
      <c r="I148" s="46">
        <f>I149+I150</f>
        <v>3449.7407669159998</v>
      </c>
      <c r="J148" s="46">
        <f>J149+J150</f>
        <v>150.21505955999999</v>
      </c>
      <c r="K148" s="46">
        <f>K149+K150</f>
        <v>103.08242502</v>
      </c>
      <c r="L148" s="62"/>
      <c r="M148" s="49"/>
      <c r="P148" s="67"/>
    </row>
    <row r="149" spans="3:19" ht="12.75" x14ac:dyDescent="0.2">
      <c r="C149" s="5"/>
      <c r="D149" s="39" t="s">
        <v>301</v>
      </c>
      <c r="E149" s="34" t="s">
        <v>302</v>
      </c>
      <c r="F149" s="12" t="s">
        <v>303</v>
      </c>
      <c r="G149" s="13">
        <f t="shared" si="1"/>
        <v>3018.1360428359999</v>
      </c>
      <c r="H149" s="45"/>
      <c r="I149" s="45">
        <f>I127*56363.61/1000*1.2</f>
        <v>3018.1360428359999</v>
      </c>
      <c r="J149" s="45"/>
      <c r="K149" s="45"/>
      <c r="L149" s="62"/>
      <c r="M149" s="49"/>
      <c r="P149" s="67" t="s">
        <v>333</v>
      </c>
    </row>
    <row r="150" spans="3:19" ht="12.75" x14ac:dyDescent="0.2">
      <c r="C150" s="5"/>
      <c r="D150" s="39" t="s">
        <v>304</v>
      </c>
      <c r="E150" s="34" t="s">
        <v>271</v>
      </c>
      <c r="F150" s="12" t="s">
        <v>305</v>
      </c>
      <c r="G150" s="13">
        <f t="shared" si="1"/>
        <v>684.90369462000001</v>
      </c>
      <c r="H150" s="45">
        <f>H128*88.45/1000*1.2</f>
        <v>1.4859599999999999E-3</v>
      </c>
      <c r="I150" s="45">
        <f>I128*88.45/1000*1.2</f>
        <v>431.60472407999998</v>
      </c>
      <c r="J150" s="45">
        <f>J128*88.45/1000*1.2</f>
        <v>150.21505955999999</v>
      </c>
      <c r="K150" s="45">
        <f>K128*88.45/1000*1.2</f>
        <v>103.08242502</v>
      </c>
      <c r="L150" s="62"/>
      <c r="M150" s="49"/>
      <c r="P150" s="67" t="s">
        <v>334</v>
      </c>
    </row>
    <row r="151" spans="3:19" x14ac:dyDescent="0.25">
      <c r="D151" s="4"/>
      <c r="E151" s="47"/>
      <c r="F151" s="47"/>
      <c r="G151" s="47"/>
      <c r="H151" s="47"/>
      <c r="I151" s="47"/>
      <c r="J151" s="47"/>
      <c r="K151" s="48"/>
      <c r="L151" s="48"/>
      <c r="M151" s="48"/>
      <c r="N151" s="48"/>
      <c r="O151" s="48"/>
      <c r="P151" s="48"/>
      <c r="Q151" s="48"/>
      <c r="R151" s="63"/>
      <c r="S151" s="63"/>
    </row>
    <row r="152" spans="3:19" ht="12.75" x14ac:dyDescent="0.2">
      <c r="E152" s="49" t="s">
        <v>306</v>
      </c>
      <c r="F152" s="108" t="str">
        <f>IF([8]Титульный!G45="","",[8]Титульный!G45)</f>
        <v>экономист</v>
      </c>
      <c r="G152" s="108"/>
      <c r="H152" s="50"/>
      <c r="I152" s="108" t="str">
        <f>IF([8]Титульный!G44="","",[8]Титульный!G44)</f>
        <v>Кривнева Е. В.</v>
      </c>
      <c r="J152" s="108"/>
      <c r="K152" s="108"/>
      <c r="L152" s="50"/>
      <c r="M152" s="72"/>
      <c r="N152" s="72"/>
      <c r="O152" s="52"/>
      <c r="P152" s="48"/>
      <c r="Q152" s="48"/>
      <c r="R152" s="63"/>
      <c r="S152" s="63"/>
    </row>
    <row r="153" spans="3:19" ht="12.75" x14ac:dyDescent="0.2">
      <c r="E153" s="51" t="s">
        <v>307</v>
      </c>
      <c r="F153" s="109" t="s">
        <v>308</v>
      </c>
      <c r="G153" s="109"/>
      <c r="H153" s="52"/>
      <c r="I153" s="109" t="s">
        <v>309</v>
      </c>
      <c r="J153" s="109"/>
      <c r="K153" s="109"/>
      <c r="L153" s="52"/>
      <c r="M153" s="109" t="s">
        <v>335</v>
      </c>
      <c r="N153" s="109"/>
      <c r="O153" s="49"/>
      <c r="P153" s="48"/>
      <c r="Q153" s="48"/>
      <c r="R153" s="63"/>
      <c r="S153" s="63"/>
    </row>
    <row r="154" spans="3:19" ht="12.75" x14ac:dyDescent="0.2">
      <c r="E154" s="51" t="s">
        <v>310</v>
      </c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8"/>
      <c r="Q154" s="48"/>
      <c r="R154" s="63"/>
      <c r="S154" s="63"/>
    </row>
    <row r="155" spans="3:19" ht="12.75" x14ac:dyDescent="0.2">
      <c r="E155" s="51" t="s">
        <v>311</v>
      </c>
      <c r="F155" s="108" t="str">
        <f>IF([8]Титульный!G46="","",[8]Титульный!G46)</f>
        <v>(861) 258-50-71</v>
      </c>
      <c r="G155" s="108"/>
      <c r="H155" s="108"/>
      <c r="I155" s="49"/>
      <c r="J155" s="51" t="s">
        <v>312</v>
      </c>
      <c r="K155" s="92"/>
      <c r="L155" s="49"/>
      <c r="M155" s="49"/>
      <c r="N155" s="49"/>
      <c r="O155" s="49"/>
      <c r="P155" s="48"/>
      <c r="Q155" s="48"/>
      <c r="R155" s="63"/>
      <c r="S155" s="63"/>
    </row>
    <row r="156" spans="3:19" ht="12.75" x14ac:dyDescent="0.2">
      <c r="E156" s="49" t="s">
        <v>313</v>
      </c>
      <c r="F156" s="110" t="s">
        <v>314</v>
      </c>
      <c r="G156" s="110"/>
      <c r="H156" s="110"/>
      <c r="I156" s="49"/>
      <c r="J156" s="53" t="s">
        <v>315</v>
      </c>
      <c r="K156" s="53"/>
      <c r="L156" s="49"/>
      <c r="M156" s="49"/>
      <c r="N156" s="49"/>
      <c r="O156" s="49"/>
      <c r="P156" s="48"/>
      <c r="Q156" s="48"/>
      <c r="R156" s="63"/>
      <c r="S156" s="63"/>
    </row>
    <row r="157" spans="3:19" x14ac:dyDescent="0.25"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63"/>
      <c r="S157" s="63"/>
    </row>
    <row r="158" spans="3:19" x14ac:dyDescent="0.25"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63"/>
      <c r="S158" s="63"/>
    </row>
    <row r="159" spans="3:19" x14ac:dyDescent="0.25"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63"/>
      <c r="S159" s="63"/>
    </row>
    <row r="160" spans="3:19" x14ac:dyDescent="0.25"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63"/>
      <c r="S160" s="63"/>
    </row>
    <row r="161" spans="5:19" x14ac:dyDescent="0.25"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63"/>
      <c r="S161" s="63"/>
    </row>
    <row r="162" spans="5:19" x14ac:dyDescent="0.25"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63"/>
      <c r="S162" s="63"/>
    </row>
    <row r="163" spans="5:19" x14ac:dyDescent="0.25"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63"/>
      <c r="S163" s="63"/>
    </row>
    <row r="164" spans="5:19" x14ac:dyDescent="0.25"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63"/>
      <c r="S164" s="63"/>
    </row>
    <row r="165" spans="5:19" x14ac:dyDescent="0.25"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63"/>
      <c r="S165" s="63"/>
    </row>
    <row r="166" spans="5:19" x14ac:dyDescent="0.25"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63"/>
      <c r="S166" s="63"/>
    </row>
    <row r="167" spans="5:19" x14ac:dyDescent="0.25"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63"/>
      <c r="S167" s="63"/>
    </row>
    <row r="168" spans="5:19" x14ac:dyDescent="0.25"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63"/>
      <c r="S168" s="63"/>
    </row>
    <row r="169" spans="5:19" x14ac:dyDescent="0.25"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63"/>
      <c r="S169" s="63"/>
    </row>
    <row r="170" spans="5:19" x14ac:dyDescent="0.25"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63"/>
      <c r="S170" s="63"/>
    </row>
    <row r="171" spans="5:19" x14ac:dyDescent="0.25"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63"/>
      <c r="S171" s="63"/>
    </row>
    <row r="172" spans="5:19" x14ac:dyDescent="0.25"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63"/>
      <c r="S172" s="63"/>
    </row>
    <row r="173" spans="5:19" x14ac:dyDescent="0.25"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63"/>
      <c r="S173" s="63"/>
    </row>
    <row r="174" spans="5:19" x14ac:dyDescent="0.25"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63"/>
      <c r="S174" s="63"/>
    </row>
    <row r="175" spans="5:19" x14ac:dyDescent="0.25"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63"/>
      <c r="S175" s="63"/>
    </row>
    <row r="176" spans="5:19" x14ac:dyDescent="0.25"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63"/>
      <c r="S176" s="63"/>
    </row>
    <row r="177" spans="5:19" x14ac:dyDescent="0.25"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63"/>
      <c r="S177" s="63"/>
    </row>
    <row r="178" spans="5:19" x14ac:dyDescent="0.25"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63"/>
      <c r="S178" s="63"/>
    </row>
    <row r="179" spans="5:19" x14ac:dyDescent="0.25"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63"/>
      <c r="S179" s="63"/>
    </row>
    <row r="180" spans="5:19" x14ac:dyDescent="0.25"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63"/>
      <c r="S180" s="63"/>
    </row>
    <row r="181" spans="5:19" x14ac:dyDescent="0.25"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63"/>
      <c r="S181" s="63"/>
    </row>
    <row r="182" spans="5:19" x14ac:dyDescent="0.25"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5:19" x14ac:dyDescent="0.25"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5:19" x14ac:dyDescent="0.25"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5:19" x14ac:dyDescent="0.25"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</sheetData>
  <mergeCells count="18">
    <mergeCell ref="F153:G153"/>
    <mergeCell ref="I153:K153"/>
    <mergeCell ref="M153:N153"/>
    <mergeCell ref="F155:H155"/>
    <mergeCell ref="F156:H156"/>
    <mergeCell ref="F152:G152"/>
    <mergeCell ref="I152:K152"/>
    <mergeCell ref="D8:E8"/>
    <mergeCell ref="D11:D12"/>
    <mergeCell ref="E11:E12"/>
    <mergeCell ref="F11:F12"/>
    <mergeCell ref="G11:G12"/>
    <mergeCell ref="H11:K11"/>
    <mergeCell ref="D14:K14"/>
    <mergeCell ref="D53:K53"/>
    <mergeCell ref="D92:K92"/>
    <mergeCell ref="D96:K96"/>
    <mergeCell ref="D129:K129"/>
  </mergeCells>
  <dataValidations count="2">
    <dataValidation allowBlank="1" showInputMessage="1" promptTitle="Ввод" prompt="Для выбора организации необходимо два раза нажать левую клавишу мыши!" sqref="E42 E25:E26 E81 E64:E65"/>
    <dataValidation type="decimal" allowBlank="1" showErrorMessage="1" errorTitle="Ошибка" error="Допускается ввод только действительных чисел!" sqref="G62:K65 G93:K95 G67:K81 G15:K18 G83:K91 G97:K128 G23:K26 G44:K52 G28:K42 G130:K150 G59:K60 G20:K21 G54:K57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85"/>
  <sheetViews>
    <sheetView topLeftCell="C7" workbookViewId="0">
      <selection activeCell="D9" sqref="D9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 x14ac:dyDescent="0.25">
      <c r="S1" s="54"/>
      <c r="T1" s="54"/>
      <c r="U1" s="54"/>
      <c r="V1" s="54"/>
      <c r="Y1" s="54"/>
      <c r="AA1" s="54"/>
      <c r="AN1" s="54"/>
      <c r="AO1" s="54"/>
      <c r="AP1" s="54"/>
      <c r="BC1" s="54"/>
      <c r="BF1" s="54"/>
      <c r="BG1" s="54"/>
      <c r="BI1" s="54"/>
      <c r="BM1" s="54"/>
      <c r="BO1" s="54"/>
      <c r="BX1" s="54"/>
      <c r="BY1" s="54"/>
      <c r="CC1" s="54"/>
    </row>
    <row r="2" spans="1:81" hidden="1" x14ac:dyDescent="0.25"/>
    <row r="3" spans="1:81" hidden="1" x14ac:dyDescent="0.25"/>
    <row r="4" spans="1:81" hidden="1" x14ac:dyDescent="0.25">
      <c r="A4" s="55"/>
      <c r="F4" s="56"/>
      <c r="G4" s="56"/>
      <c r="H4" s="56"/>
      <c r="I4" s="56"/>
      <c r="J4" s="56"/>
      <c r="K4" s="56"/>
      <c r="M4" s="56"/>
      <c r="N4" s="56"/>
      <c r="O4" s="56"/>
      <c r="P4" s="56"/>
      <c r="Q4" s="56"/>
    </row>
    <row r="5" spans="1:81" hidden="1" x14ac:dyDescent="0.25">
      <c r="A5" s="57"/>
      <c r="F5" s="1" t="s">
        <v>316</v>
      </c>
      <c r="G5" s="1" t="s">
        <v>317</v>
      </c>
      <c r="H5" s="1" t="s">
        <v>318</v>
      </c>
      <c r="I5" s="1" t="s">
        <v>319</v>
      </c>
      <c r="J5" s="1" t="s">
        <v>320</v>
      </c>
      <c r="K5" s="1" t="s">
        <v>321</v>
      </c>
      <c r="L5" s="1" t="s">
        <v>322</v>
      </c>
      <c r="M5" s="1" t="s">
        <v>323</v>
      </c>
      <c r="N5" s="1" t="s">
        <v>323</v>
      </c>
      <c r="O5" s="1" t="s">
        <v>324</v>
      </c>
      <c r="P5" s="1" t="s">
        <v>325</v>
      </c>
      <c r="Q5" s="1" t="s">
        <v>326</v>
      </c>
    </row>
    <row r="6" spans="1:81" hidden="1" x14ac:dyDescent="0.25">
      <c r="A6" s="57"/>
    </row>
    <row r="7" spans="1:81" ht="12" customHeight="1" x14ac:dyDescent="0.25">
      <c r="A7" s="57"/>
      <c r="D7" s="5"/>
      <c r="E7" s="5"/>
      <c r="F7" s="5"/>
      <c r="G7" s="5"/>
      <c r="H7" s="5"/>
      <c r="I7" s="5"/>
      <c r="J7" s="5"/>
      <c r="K7" s="58"/>
      <c r="Q7" s="66"/>
    </row>
    <row r="8" spans="1:81" ht="22.5" customHeight="1" x14ac:dyDescent="0.25">
      <c r="A8" s="57"/>
      <c r="D8" s="104" t="s">
        <v>0</v>
      </c>
      <c r="E8" s="10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81" x14ac:dyDescent="0.25">
      <c r="A9" s="57"/>
      <c r="D9" s="3" t="s">
        <v>350</v>
      </c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81" ht="12" customHeight="1" x14ac:dyDescent="0.25">
      <c r="D10" s="4"/>
      <c r="E10" s="4"/>
      <c r="F10" s="5"/>
      <c r="G10" s="5"/>
      <c r="H10" s="5"/>
      <c r="I10" s="5"/>
      <c r="K10" s="6" t="s">
        <v>1</v>
      </c>
    </row>
    <row r="11" spans="1:81" ht="15" customHeight="1" x14ac:dyDescent="0.25">
      <c r="C11" s="5"/>
      <c r="D11" s="105" t="s">
        <v>2</v>
      </c>
      <c r="E11" s="102" t="s">
        <v>3</v>
      </c>
      <c r="F11" s="102" t="s">
        <v>4</v>
      </c>
      <c r="G11" s="102" t="s">
        <v>5</v>
      </c>
      <c r="H11" s="102" t="s">
        <v>6</v>
      </c>
      <c r="I11" s="102"/>
      <c r="J11" s="102"/>
      <c r="K11" s="103"/>
      <c r="L11" s="59"/>
    </row>
    <row r="12" spans="1:81" ht="15" customHeight="1" x14ac:dyDescent="0.25">
      <c r="C12" s="5"/>
      <c r="D12" s="106"/>
      <c r="E12" s="107"/>
      <c r="F12" s="107"/>
      <c r="G12" s="107"/>
      <c r="H12" s="94" t="s">
        <v>7</v>
      </c>
      <c r="I12" s="94" t="s">
        <v>8</v>
      </c>
      <c r="J12" s="94" t="s">
        <v>9</v>
      </c>
      <c r="K12" s="7" t="s">
        <v>10</v>
      </c>
      <c r="L12" s="59"/>
    </row>
    <row r="13" spans="1:81" ht="12" customHeight="1" x14ac:dyDescent="0.25">
      <c r="D13" s="8">
        <v>0</v>
      </c>
      <c r="E13" s="8">
        <v>1</v>
      </c>
      <c r="F13" s="8">
        <v>2</v>
      </c>
      <c r="G13" s="8">
        <v>3</v>
      </c>
      <c r="H13" s="8">
        <v>4</v>
      </c>
      <c r="I13" s="8">
        <v>5</v>
      </c>
      <c r="J13" s="8">
        <v>6</v>
      </c>
      <c r="K13" s="8">
        <v>7</v>
      </c>
    </row>
    <row r="14" spans="1:81" s="60" customFormat="1" ht="15" customHeight="1" x14ac:dyDescent="0.25">
      <c r="C14" s="9"/>
      <c r="D14" s="99" t="s">
        <v>11</v>
      </c>
      <c r="E14" s="100"/>
      <c r="F14" s="100"/>
      <c r="G14" s="100"/>
      <c r="H14" s="100"/>
      <c r="I14" s="100"/>
      <c r="J14" s="100"/>
      <c r="K14" s="101"/>
      <c r="L14" s="61"/>
    </row>
    <row r="15" spans="1:81" s="60" customFormat="1" ht="15" customHeight="1" x14ac:dyDescent="0.2">
      <c r="C15" s="9"/>
      <c r="D15" s="10" t="s">
        <v>12</v>
      </c>
      <c r="E15" s="11" t="s">
        <v>13</v>
      </c>
      <c r="F15" s="12">
        <v>10</v>
      </c>
      <c r="G15" s="13">
        <f>SUM(H15:K15)</f>
        <v>6291.4350000000004</v>
      </c>
      <c r="H15" s="13">
        <f>H16+H17+H20+H23</f>
        <v>863.99099999999999</v>
      </c>
      <c r="I15" s="13">
        <f>I16+I17+I20+I23</f>
        <v>4776.4830000000002</v>
      </c>
      <c r="J15" s="13">
        <f>J16+J17+J20+J23</f>
        <v>650.96100000000001</v>
      </c>
      <c r="K15" s="13">
        <f>K16+K17+K20+K23</f>
        <v>0</v>
      </c>
      <c r="L15" s="61"/>
      <c r="M15" s="49"/>
      <c r="N15" s="98"/>
      <c r="P15" s="67">
        <v>10</v>
      </c>
    </row>
    <row r="16" spans="1:81" s="60" customFormat="1" ht="15" customHeight="1" x14ac:dyDescent="0.2">
      <c r="C16" s="9"/>
      <c r="D16" s="10" t="s">
        <v>14</v>
      </c>
      <c r="E16" s="14" t="s">
        <v>15</v>
      </c>
      <c r="F16" s="12">
        <v>20</v>
      </c>
      <c r="G16" s="13">
        <f t="shared" ref="G16:G136" si="0">SUM(H16:K16)</f>
        <v>0</v>
      </c>
      <c r="H16" s="15"/>
      <c r="I16" s="15"/>
      <c r="J16" s="15"/>
      <c r="K16" s="15"/>
      <c r="L16" s="61"/>
      <c r="M16" s="49"/>
      <c r="N16" s="98"/>
      <c r="P16" s="67">
        <v>20</v>
      </c>
    </row>
    <row r="17" spans="3:16" s="60" customFormat="1" ht="12.75" x14ac:dyDescent="0.2">
      <c r="C17" s="9"/>
      <c r="D17" s="10" t="s">
        <v>16</v>
      </c>
      <c r="E17" s="14" t="s">
        <v>17</v>
      </c>
      <c r="F17" s="12">
        <v>30</v>
      </c>
      <c r="G17" s="13">
        <f t="shared" si="0"/>
        <v>0</v>
      </c>
      <c r="H17" s="13">
        <f>SUM(H18:H19)</f>
        <v>0</v>
      </c>
      <c r="I17" s="13">
        <f>SUM(I18:I19)</f>
        <v>0</v>
      </c>
      <c r="J17" s="13">
        <f>SUM(J18:J19)</f>
        <v>0</v>
      </c>
      <c r="K17" s="13">
        <f>SUM(K18:K19)</f>
        <v>0</v>
      </c>
      <c r="L17" s="61"/>
      <c r="M17" s="49"/>
      <c r="N17" s="98"/>
      <c r="P17" s="67">
        <v>30</v>
      </c>
    </row>
    <row r="18" spans="3:16" s="60" customFormat="1" ht="12.75" x14ac:dyDescent="0.2">
      <c r="C18" s="9"/>
      <c r="D18" s="16" t="s">
        <v>18</v>
      </c>
      <c r="E18" s="17"/>
      <c r="F18" s="18" t="s">
        <v>19</v>
      </c>
      <c r="G18" s="19"/>
      <c r="H18" s="19"/>
      <c r="I18" s="19"/>
      <c r="J18" s="19"/>
      <c r="K18" s="19"/>
      <c r="L18" s="61"/>
      <c r="M18" s="49"/>
      <c r="N18" s="98"/>
      <c r="P18" s="67"/>
    </row>
    <row r="19" spans="3:16" s="60" customFormat="1" ht="12.75" x14ac:dyDescent="0.2">
      <c r="C19" s="9"/>
      <c r="D19" s="20"/>
      <c r="E19" s="21" t="s">
        <v>20</v>
      </c>
      <c r="F19" s="22"/>
      <c r="G19" s="22"/>
      <c r="H19" s="22"/>
      <c r="I19" s="22"/>
      <c r="J19" s="22"/>
      <c r="K19" s="23"/>
      <c r="L19" s="61"/>
      <c r="M19" s="49"/>
      <c r="N19" s="98"/>
      <c r="P19" s="68"/>
    </row>
    <row r="20" spans="3:16" s="60" customFormat="1" ht="12.75" x14ac:dyDescent="0.2">
      <c r="C20" s="9"/>
      <c r="D20" s="10" t="s">
        <v>21</v>
      </c>
      <c r="E20" s="14" t="s">
        <v>22</v>
      </c>
      <c r="F20" s="12" t="s">
        <v>23</v>
      </c>
      <c r="G20" s="13">
        <f t="shared" si="0"/>
        <v>0</v>
      </c>
      <c r="H20" s="13">
        <f>SUM(H21:H22)</f>
        <v>0</v>
      </c>
      <c r="I20" s="13">
        <f>SUM(I21:I22)</f>
        <v>0</v>
      </c>
      <c r="J20" s="13">
        <f>SUM(J21:J22)</f>
        <v>0</v>
      </c>
      <c r="K20" s="13">
        <f>SUM(K21:K22)</f>
        <v>0</v>
      </c>
      <c r="L20" s="61"/>
      <c r="M20" s="49"/>
      <c r="N20" s="98"/>
      <c r="P20" s="68"/>
    </row>
    <row r="21" spans="3:16" s="60" customFormat="1" ht="12.75" x14ac:dyDescent="0.2">
      <c r="C21" s="9"/>
      <c r="D21" s="16" t="s">
        <v>24</v>
      </c>
      <c r="E21" s="17"/>
      <c r="F21" s="18" t="s">
        <v>23</v>
      </c>
      <c r="G21" s="19"/>
      <c r="H21" s="19"/>
      <c r="I21" s="19"/>
      <c r="J21" s="19"/>
      <c r="K21" s="19"/>
      <c r="L21" s="61"/>
      <c r="M21" s="49"/>
      <c r="N21" s="98"/>
      <c r="P21" s="67"/>
    </row>
    <row r="22" spans="3:16" s="60" customFormat="1" ht="12.75" x14ac:dyDescent="0.2">
      <c r="C22" s="9"/>
      <c r="D22" s="20"/>
      <c r="E22" s="21" t="s">
        <v>20</v>
      </c>
      <c r="F22" s="22"/>
      <c r="G22" s="22"/>
      <c r="H22" s="22"/>
      <c r="I22" s="22"/>
      <c r="J22" s="22"/>
      <c r="K22" s="23"/>
      <c r="L22" s="61"/>
      <c r="M22" s="49"/>
      <c r="N22" s="98"/>
      <c r="P22" s="68"/>
    </row>
    <row r="23" spans="3:16" s="60" customFormat="1" ht="12.75" x14ac:dyDescent="0.2">
      <c r="C23" s="9"/>
      <c r="D23" s="10" t="s">
        <v>25</v>
      </c>
      <c r="E23" s="14" t="s">
        <v>26</v>
      </c>
      <c r="F23" s="12" t="s">
        <v>27</v>
      </c>
      <c r="G23" s="13">
        <f t="shared" si="0"/>
        <v>6291.4350000000004</v>
      </c>
      <c r="H23" s="13">
        <f>SUM(H24:H27)</f>
        <v>863.99099999999999</v>
      </c>
      <c r="I23" s="13">
        <f>SUM(I24:I27)</f>
        <v>4776.4830000000002</v>
      </c>
      <c r="J23" s="13">
        <f>SUM(J24:J27)</f>
        <v>650.96100000000001</v>
      </c>
      <c r="K23" s="13">
        <f>SUM(K24:K27)</f>
        <v>0</v>
      </c>
      <c r="L23" s="61"/>
      <c r="M23" s="49"/>
      <c r="N23" s="98"/>
      <c r="P23" s="67">
        <v>40</v>
      </c>
    </row>
    <row r="24" spans="3:16" s="60" customFormat="1" ht="12.75" x14ac:dyDescent="0.2">
      <c r="C24" s="9"/>
      <c r="D24" s="16" t="s">
        <v>28</v>
      </c>
      <c r="E24" s="17"/>
      <c r="F24" s="18" t="s">
        <v>27</v>
      </c>
      <c r="G24" s="19"/>
      <c r="H24" s="19"/>
      <c r="I24" s="19"/>
      <c r="J24" s="19"/>
      <c r="K24" s="19"/>
      <c r="L24" s="61"/>
      <c r="M24" s="49"/>
      <c r="N24" s="98"/>
      <c r="P24" s="67"/>
    </row>
    <row r="25" spans="3:16" s="60" customFormat="1" ht="15" x14ac:dyDescent="0.25">
      <c r="C25" s="24" t="s">
        <v>29</v>
      </c>
      <c r="D25" s="25" t="s">
        <v>30</v>
      </c>
      <c r="E25" s="26" t="s">
        <v>344</v>
      </c>
      <c r="F25" s="27">
        <v>431</v>
      </c>
      <c r="G25" s="28">
        <f>SUM(H25:K25)</f>
        <v>6003.4750000000004</v>
      </c>
      <c r="H25" s="29">
        <v>863.99099999999999</v>
      </c>
      <c r="I25" s="29">
        <v>4776.4830000000002</v>
      </c>
      <c r="J25" s="29">
        <f>362.962+0.039</f>
        <v>363.00099999999998</v>
      </c>
      <c r="K25" s="30"/>
      <c r="L25" s="61"/>
      <c r="M25" s="69" t="s">
        <v>327</v>
      </c>
      <c r="N25" s="98"/>
      <c r="O25" s="70"/>
    </row>
    <row r="26" spans="3:16" s="60" customFormat="1" ht="15" x14ac:dyDescent="0.25">
      <c r="C26" s="24" t="s">
        <v>29</v>
      </c>
      <c r="D26" s="25" t="s">
        <v>342</v>
      </c>
      <c r="E26" s="26" t="s">
        <v>68</v>
      </c>
      <c r="F26" s="27">
        <v>432</v>
      </c>
      <c r="G26" s="28">
        <f>SUM(H26:K26)</f>
        <v>287.95999999999998</v>
      </c>
      <c r="H26" s="29"/>
      <c r="I26" s="29"/>
      <c r="J26" s="29">
        <v>287.95999999999998</v>
      </c>
      <c r="K26" s="30"/>
      <c r="L26" s="61"/>
      <c r="M26" s="69" t="s">
        <v>330</v>
      </c>
      <c r="N26" s="98"/>
      <c r="O26" s="70"/>
    </row>
    <row r="27" spans="3:16" s="60" customFormat="1" ht="12.75" x14ac:dyDescent="0.2">
      <c r="C27" s="9"/>
      <c r="D27" s="20"/>
      <c r="E27" s="21" t="s">
        <v>20</v>
      </c>
      <c r="F27" s="22"/>
      <c r="G27" s="22"/>
      <c r="H27" s="22"/>
      <c r="I27" s="22"/>
      <c r="J27" s="22"/>
      <c r="K27" s="23"/>
      <c r="L27" s="61"/>
      <c r="M27" s="49"/>
      <c r="N27" s="98"/>
      <c r="P27" s="67"/>
    </row>
    <row r="28" spans="3:16" s="60" customFormat="1" ht="12.75" x14ac:dyDescent="0.2">
      <c r="C28" s="9"/>
      <c r="D28" s="10" t="s">
        <v>31</v>
      </c>
      <c r="E28" s="11" t="s">
        <v>32</v>
      </c>
      <c r="F28" s="12" t="s">
        <v>33</v>
      </c>
      <c r="G28" s="13">
        <f t="shared" si="0"/>
        <v>2656.0030000000002</v>
      </c>
      <c r="H28" s="13">
        <f>H30+H31+H32</f>
        <v>0</v>
      </c>
      <c r="I28" s="13">
        <f>I29+I31+I32</f>
        <v>0</v>
      </c>
      <c r="J28" s="13">
        <f>J29+J30+J32</f>
        <v>1708.4</v>
      </c>
      <c r="K28" s="13">
        <f>K29+K30+K31</f>
        <v>947.60300000000007</v>
      </c>
      <c r="L28" s="61"/>
      <c r="M28" s="49"/>
      <c r="N28" s="98"/>
      <c r="P28" s="67">
        <v>50</v>
      </c>
    </row>
    <row r="29" spans="3:16" s="60" customFormat="1" ht="12.75" x14ac:dyDescent="0.2">
      <c r="C29" s="9"/>
      <c r="D29" s="10" t="s">
        <v>34</v>
      </c>
      <c r="E29" s="14" t="s">
        <v>7</v>
      </c>
      <c r="F29" s="12" t="s">
        <v>35</v>
      </c>
      <c r="G29" s="13">
        <f t="shared" si="0"/>
        <v>863.85299999999995</v>
      </c>
      <c r="H29" s="31"/>
      <c r="I29" s="15"/>
      <c r="J29" s="15">
        <f>H45</f>
        <v>863.85299999999995</v>
      </c>
      <c r="K29" s="15"/>
      <c r="L29" s="61"/>
      <c r="M29" s="49"/>
      <c r="N29" s="98"/>
      <c r="P29" s="67">
        <v>60</v>
      </c>
    </row>
    <row r="30" spans="3:16" s="60" customFormat="1" ht="12.75" x14ac:dyDescent="0.2">
      <c r="C30" s="9"/>
      <c r="D30" s="10" t="s">
        <v>36</v>
      </c>
      <c r="E30" s="14" t="s">
        <v>8</v>
      </c>
      <c r="F30" s="12" t="s">
        <v>37</v>
      </c>
      <c r="G30" s="13">
        <f t="shared" si="0"/>
        <v>844.54700000000025</v>
      </c>
      <c r="H30" s="15"/>
      <c r="I30" s="31"/>
      <c r="J30" s="15">
        <f>I25-I34-I48</f>
        <v>844.54700000000025</v>
      </c>
      <c r="K30" s="15"/>
      <c r="L30" s="61"/>
      <c r="M30" s="49"/>
      <c r="N30" s="98"/>
      <c r="P30" s="67">
        <v>70</v>
      </c>
    </row>
    <row r="31" spans="3:16" s="60" customFormat="1" ht="12.75" x14ac:dyDescent="0.2">
      <c r="C31" s="9"/>
      <c r="D31" s="10" t="s">
        <v>38</v>
      </c>
      <c r="E31" s="14" t="s">
        <v>9</v>
      </c>
      <c r="F31" s="12" t="s">
        <v>39</v>
      </c>
      <c r="G31" s="13">
        <f t="shared" si="0"/>
        <v>947.60300000000007</v>
      </c>
      <c r="H31" s="15"/>
      <c r="I31" s="15"/>
      <c r="J31" s="31"/>
      <c r="K31" s="15">
        <f>J23+J28+J17-J48-J34</f>
        <v>947.60300000000007</v>
      </c>
      <c r="L31" s="61"/>
      <c r="M31" s="49"/>
      <c r="N31" s="98"/>
      <c r="P31" s="67">
        <v>80</v>
      </c>
    </row>
    <row r="32" spans="3:16" s="60" customFormat="1" ht="12.75" x14ac:dyDescent="0.2">
      <c r="C32" s="9"/>
      <c r="D32" s="10" t="s">
        <v>40</v>
      </c>
      <c r="E32" s="14" t="s">
        <v>41</v>
      </c>
      <c r="F32" s="12" t="s">
        <v>42</v>
      </c>
      <c r="G32" s="13">
        <f t="shared" si="0"/>
        <v>0</v>
      </c>
      <c r="H32" s="15"/>
      <c r="I32" s="15"/>
      <c r="J32" s="15"/>
      <c r="K32" s="31"/>
      <c r="L32" s="61"/>
      <c r="M32" s="49"/>
      <c r="N32" s="98"/>
      <c r="P32" s="67">
        <v>90</v>
      </c>
    </row>
    <row r="33" spans="3:16" s="60" customFormat="1" ht="12.75" x14ac:dyDescent="0.2">
      <c r="C33" s="9"/>
      <c r="D33" s="10" t="s">
        <v>43</v>
      </c>
      <c r="E33" s="32" t="s">
        <v>44</v>
      </c>
      <c r="F33" s="12" t="s">
        <v>45</v>
      </c>
      <c r="G33" s="13">
        <f t="shared" si="0"/>
        <v>0</v>
      </c>
      <c r="H33" s="15"/>
      <c r="I33" s="15"/>
      <c r="J33" s="15"/>
      <c r="K33" s="15"/>
      <c r="L33" s="61"/>
      <c r="M33" s="49"/>
      <c r="N33" s="98"/>
      <c r="P33" s="67"/>
    </row>
    <row r="34" spans="3:16" s="60" customFormat="1" ht="12.75" x14ac:dyDescent="0.2">
      <c r="C34" s="9"/>
      <c r="D34" s="10" t="s">
        <v>46</v>
      </c>
      <c r="E34" s="11" t="s">
        <v>47</v>
      </c>
      <c r="F34" s="33" t="s">
        <v>48</v>
      </c>
      <c r="G34" s="13">
        <f t="shared" si="0"/>
        <v>6163.4759999999997</v>
      </c>
      <c r="H34" s="13">
        <f>H35+H37+H40+H44</f>
        <v>0</v>
      </c>
      <c r="I34" s="13">
        <f>I35+I37+I40+I44</f>
        <v>3866.5729999999999</v>
      </c>
      <c r="J34" s="13">
        <f>J35+J37+J40+J44</f>
        <v>1386.3879999999999</v>
      </c>
      <c r="K34" s="13">
        <f>K35+K37+K40+K44</f>
        <v>910.51499999999999</v>
      </c>
      <c r="L34" s="61"/>
      <c r="M34" s="49"/>
      <c r="N34" s="98"/>
      <c r="P34" s="67">
        <v>100</v>
      </c>
    </row>
    <row r="35" spans="3:16" s="60" customFormat="1" ht="22.5" x14ac:dyDescent="0.2">
      <c r="C35" s="9"/>
      <c r="D35" s="10" t="s">
        <v>49</v>
      </c>
      <c r="E35" s="14" t="s">
        <v>50</v>
      </c>
      <c r="F35" s="12" t="s">
        <v>51</v>
      </c>
      <c r="G35" s="13">
        <f t="shared" si="0"/>
        <v>0</v>
      </c>
      <c r="H35" s="15"/>
      <c r="I35" s="15"/>
      <c r="J35" s="15"/>
      <c r="K35" s="15"/>
      <c r="L35" s="61"/>
      <c r="M35" s="49"/>
      <c r="N35" s="98"/>
      <c r="P35" s="67"/>
    </row>
    <row r="36" spans="3:16" s="60" customFormat="1" ht="12.75" x14ac:dyDescent="0.2">
      <c r="C36" s="9"/>
      <c r="D36" s="10" t="s">
        <v>52</v>
      </c>
      <c r="E36" s="34" t="s">
        <v>53</v>
      </c>
      <c r="F36" s="12" t="s">
        <v>54</v>
      </c>
      <c r="G36" s="13">
        <f t="shared" si="0"/>
        <v>0</v>
      </c>
      <c r="H36" s="15"/>
      <c r="I36" s="15"/>
      <c r="J36" s="15"/>
      <c r="K36" s="15"/>
      <c r="L36" s="61"/>
      <c r="M36" s="49"/>
      <c r="N36" s="98"/>
      <c r="P36" s="67"/>
    </row>
    <row r="37" spans="3:16" s="60" customFormat="1" ht="12.75" x14ac:dyDescent="0.2">
      <c r="C37" s="9"/>
      <c r="D37" s="10" t="s">
        <v>55</v>
      </c>
      <c r="E37" s="14" t="s">
        <v>56</v>
      </c>
      <c r="F37" s="12" t="s">
        <v>57</v>
      </c>
      <c r="G37" s="13">
        <f t="shared" si="0"/>
        <v>2996.8249999999998</v>
      </c>
      <c r="H37" s="15">
        <v>0</v>
      </c>
      <c r="I37" s="15">
        <f>3866.573-I42</f>
        <v>699.92200000000003</v>
      </c>
      <c r="J37" s="15">
        <v>1386.3879999999999</v>
      </c>
      <c r="K37" s="15">
        <v>910.51499999999999</v>
      </c>
      <c r="L37" s="61"/>
      <c r="M37" s="49"/>
      <c r="N37" s="98"/>
      <c r="P37" s="67"/>
    </row>
    <row r="38" spans="3:16" s="60" customFormat="1" ht="12.75" x14ac:dyDescent="0.2">
      <c r="C38" s="9"/>
      <c r="D38" s="10" t="s">
        <v>58</v>
      </c>
      <c r="E38" s="34" t="s">
        <v>59</v>
      </c>
      <c r="F38" s="12" t="s">
        <v>60</v>
      </c>
      <c r="G38" s="13">
        <f t="shared" si="0"/>
        <v>0</v>
      </c>
      <c r="H38" s="15"/>
      <c r="I38" s="15"/>
      <c r="J38" s="15"/>
      <c r="K38" s="15"/>
      <c r="L38" s="61"/>
      <c r="M38" s="49"/>
      <c r="N38" s="98"/>
      <c r="P38" s="67"/>
    </row>
    <row r="39" spans="3:16" s="60" customFormat="1" ht="12.75" x14ac:dyDescent="0.2">
      <c r="C39" s="9"/>
      <c r="D39" s="10" t="s">
        <v>61</v>
      </c>
      <c r="E39" s="35" t="s">
        <v>53</v>
      </c>
      <c r="F39" s="12" t="s">
        <v>62</v>
      </c>
      <c r="G39" s="13">
        <f t="shared" si="0"/>
        <v>0</v>
      </c>
      <c r="H39" s="15"/>
      <c r="I39" s="15"/>
      <c r="J39" s="15"/>
      <c r="K39" s="15"/>
      <c r="L39" s="61"/>
      <c r="M39" s="49"/>
      <c r="N39" s="98"/>
      <c r="P39" s="67"/>
    </row>
    <row r="40" spans="3:16" s="60" customFormat="1" ht="12.75" x14ac:dyDescent="0.2">
      <c r="C40" s="9"/>
      <c r="D40" s="10" t="s">
        <v>63</v>
      </c>
      <c r="E40" s="14" t="s">
        <v>64</v>
      </c>
      <c r="F40" s="12" t="s">
        <v>65</v>
      </c>
      <c r="G40" s="13">
        <f t="shared" si="0"/>
        <v>3166.6509999999998</v>
      </c>
      <c r="H40" s="13">
        <f>SUM(H41:H43)</f>
        <v>0</v>
      </c>
      <c r="I40" s="13">
        <f>SUM(I41:I43)</f>
        <v>3166.6509999999998</v>
      </c>
      <c r="J40" s="13">
        <f>SUM(J41:J43)</f>
        <v>0</v>
      </c>
      <c r="K40" s="13">
        <f>SUM(K41:K43)</f>
        <v>0</v>
      </c>
      <c r="L40" s="61"/>
      <c r="M40" s="49"/>
      <c r="N40" s="98"/>
      <c r="P40" s="67"/>
    </row>
    <row r="41" spans="3:16" s="60" customFormat="1" ht="12.75" x14ac:dyDescent="0.2">
      <c r="C41" s="9"/>
      <c r="D41" s="16" t="s">
        <v>66</v>
      </c>
      <c r="E41" s="17"/>
      <c r="F41" s="18" t="s">
        <v>65</v>
      </c>
      <c r="G41" s="19"/>
      <c r="H41" s="19"/>
      <c r="I41" s="19"/>
      <c r="J41" s="19"/>
      <c r="K41" s="19"/>
      <c r="L41" s="61"/>
      <c r="M41" s="49"/>
      <c r="N41" s="98"/>
      <c r="P41" s="67"/>
    </row>
    <row r="42" spans="3:16" s="60" customFormat="1" ht="15" x14ac:dyDescent="0.25">
      <c r="C42" s="24" t="s">
        <v>29</v>
      </c>
      <c r="D42" s="25" t="s">
        <v>67</v>
      </c>
      <c r="E42" s="26" t="s">
        <v>68</v>
      </c>
      <c r="F42" s="27">
        <v>751</v>
      </c>
      <c r="G42" s="28">
        <f>SUM(H42:K42)</f>
        <v>3166.6509999999998</v>
      </c>
      <c r="H42" s="29"/>
      <c r="I42" s="29">
        <v>3166.6509999999998</v>
      </c>
      <c r="J42" s="29"/>
      <c r="K42" s="30"/>
      <c r="L42" s="61"/>
      <c r="M42" s="69" t="s">
        <v>330</v>
      </c>
      <c r="N42" s="98"/>
      <c r="O42" s="70"/>
    </row>
    <row r="43" spans="3:16" s="60" customFormat="1" ht="12.75" x14ac:dyDescent="0.2">
      <c r="C43" s="9"/>
      <c r="D43" s="36"/>
      <c r="E43" s="21" t="s">
        <v>20</v>
      </c>
      <c r="F43" s="22"/>
      <c r="G43" s="22"/>
      <c r="H43" s="22"/>
      <c r="I43" s="22"/>
      <c r="J43" s="22"/>
      <c r="K43" s="23"/>
      <c r="L43" s="61"/>
      <c r="M43" s="49"/>
      <c r="N43" s="98"/>
      <c r="P43" s="67"/>
    </row>
    <row r="44" spans="3:16" s="60" customFormat="1" ht="12.75" x14ac:dyDescent="0.2">
      <c r="C44" s="9"/>
      <c r="D44" s="10" t="s">
        <v>69</v>
      </c>
      <c r="E44" s="37" t="s">
        <v>70</v>
      </c>
      <c r="F44" s="12" t="s">
        <v>71</v>
      </c>
      <c r="G44" s="13">
        <f t="shared" si="0"/>
        <v>0</v>
      </c>
      <c r="H44" s="15"/>
      <c r="I44" s="15"/>
      <c r="J44" s="15"/>
      <c r="K44" s="15"/>
      <c r="L44" s="61"/>
      <c r="M44" s="49"/>
      <c r="N44" s="98"/>
      <c r="P44" s="67">
        <v>120</v>
      </c>
    </row>
    <row r="45" spans="3:16" s="60" customFormat="1" ht="12.75" x14ac:dyDescent="0.2">
      <c r="C45" s="9"/>
      <c r="D45" s="10" t="s">
        <v>72</v>
      </c>
      <c r="E45" s="11" t="s">
        <v>73</v>
      </c>
      <c r="F45" s="12" t="s">
        <v>74</v>
      </c>
      <c r="G45" s="13">
        <f t="shared" si="0"/>
        <v>2656.0030000000002</v>
      </c>
      <c r="H45" s="15">
        <f>H25-H48-H34</f>
        <v>863.85299999999995</v>
      </c>
      <c r="I45" s="15">
        <f>I15-I34-I48</f>
        <v>844.54700000000025</v>
      </c>
      <c r="J45" s="15">
        <f>J23+J28+J17-J34-J48</f>
        <v>947.60299999999995</v>
      </c>
      <c r="K45" s="15">
        <f>K31-K34-K48</f>
        <v>7.815970093361102E-14</v>
      </c>
      <c r="L45" s="61"/>
      <c r="M45" s="49"/>
      <c r="N45" s="98"/>
      <c r="P45" s="67">
        <v>150</v>
      </c>
    </row>
    <row r="46" spans="3:16" s="60" customFormat="1" ht="12.75" x14ac:dyDescent="0.2">
      <c r="C46" s="9"/>
      <c r="D46" s="10" t="s">
        <v>75</v>
      </c>
      <c r="E46" s="11" t="s">
        <v>76</v>
      </c>
      <c r="F46" s="12" t="s">
        <v>77</v>
      </c>
      <c r="G46" s="13">
        <f t="shared" si="0"/>
        <v>0</v>
      </c>
      <c r="H46" s="15"/>
      <c r="I46" s="15"/>
      <c r="J46" s="15"/>
      <c r="K46" s="15"/>
      <c r="L46" s="61"/>
      <c r="M46" s="49"/>
      <c r="N46" s="98"/>
      <c r="P46" s="67">
        <v>160</v>
      </c>
    </row>
    <row r="47" spans="3:16" s="60" customFormat="1" ht="12.75" x14ac:dyDescent="0.2">
      <c r="C47" s="9"/>
      <c r="D47" s="10" t="s">
        <v>78</v>
      </c>
      <c r="E47" s="11" t="s">
        <v>79</v>
      </c>
      <c r="F47" s="12" t="s">
        <v>80</v>
      </c>
      <c r="G47" s="13">
        <f t="shared" si="0"/>
        <v>0</v>
      </c>
      <c r="H47" s="15"/>
      <c r="I47" s="15"/>
      <c r="J47" s="15"/>
      <c r="K47" s="15"/>
      <c r="L47" s="61"/>
      <c r="M47" s="49"/>
      <c r="N47" s="98"/>
      <c r="P47" s="67">
        <v>180</v>
      </c>
    </row>
    <row r="48" spans="3:16" s="60" customFormat="1" ht="12.75" x14ac:dyDescent="0.2">
      <c r="C48" s="9"/>
      <c r="D48" s="10" t="s">
        <v>81</v>
      </c>
      <c r="E48" s="11" t="s">
        <v>82</v>
      </c>
      <c r="F48" s="12" t="s">
        <v>83</v>
      </c>
      <c r="G48" s="13">
        <f t="shared" si="0"/>
        <v>127.959</v>
      </c>
      <c r="H48" s="15">
        <v>0.13800000000000001</v>
      </c>
      <c r="I48" s="15">
        <v>65.363</v>
      </c>
      <c r="J48" s="15">
        <v>25.37</v>
      </c>
      <c r="K48" s="15">
        <v>37.088000000000001</v>
      </c>
      <c r="L48" s="61"/>
      <c r="M48" s="49"/>
      <c r="N48" s="98"/>
      <c r="P48" s="67">
        <v>190</v>
      </c>
    </row>
    <row r="49" spans="3:16" s="60" customFormat="1" ht="12.75" x14ac:dyDescent="0.2">
      <c r="C49" s="9"/>
      <c r="D49" s="10" t="s">
        <v>84</v>
      </c>
      <c r="E49" s="14" t="s">
        <v>85</v>
      </c>
      <c r="F49" s="12" t="s">
        <v>86</v>
      </c>
      <c r="G49" s="13">
        <f t="shared" si="0"/>
        <v>0</v>
      </c>
      <c r="H49" s="15"/>
      <c r="I49" s="15"/>
      <c r="J49" s="15"/>
      <c r="K49" s="15"/>
      <c r="L49" s="61"/>
      <c r="M49" s="49"/>
      <c r="N49" s="98"/>
      <c r="P49" s="67">
        <v>200</v>
      </c>
    </row>
    <row r="50" spans="3:16" s="60" customFormat="1" ht="22.5" x14ac:dyDescent="0.2">
      <c r="C50" s="9"/>
      <c r="D50" s="10" t="s">
        <v>87</v>
      </c>
      <c r="E50" s="11" t="s">
        <v>88</v>
      </c>
      <c r="F50" s="12" t="s">
        <v>89</v>
      </c>
      <c r="G50" s="13">
        <f t="shared" si="0"/>
        <v>152.51400000000001</v>
      </c>
      <c r="H50" s="15"/>
      <c r="I50" s="15">
        <f>152.514*0.2468</f>
        <v>37.640455199999998</v>
      </c>
      <c r="J50" s="15">
        <f>152.514*0.3291</f>
        <v>50.192357400000006</v>
      </c>
      <c r="K50" s="15">
        <f>152.514*0.4241</f>
        <v>64.681187399999999</v>
      </c>
      <c r="L50" s="61"/>
      <c r="M50" s="49"/>
      <c r="N50" s="98"/>
      <c r="P50" s="68"/>
    </row>
    <row r="51" spans="3:16" s="60" customFormat="1" ht="33.75" x14ac:dyDescent="0.2">
      <c r="C51" s="9"/>
      <c r="D51" s="10" t="s">
        <v>90</v>
      </c>
      <c r="E51" s="32" t="s">
        <v>91</v>
      </c>
      <c r="F51" s="12" t="s">
        <v>92</v>
      </c>
      <c r="G51" s="13">
        <f t="shared" si="0"/>
        <v>-24.555</v>
      </c>
      <c r="H51" s="13">
        <f>H48-H50</f>
        <v>0.13800000000000001</v>
      </c>
      <c r="I51" s="13">
        <f>I48-I50</f>
        <v>27.722544800000001</v>
      </c>
      <c r="J51" s="13">
        <f>J48-J50</f>
        <v>-24.822357400000005</v>
      </c>
      <c r="K51" s="13">
        <f>K48-K50</f>
        <v>-27.593187399999998</v>
      </c>
      <c r="L51" s="61"/>
      <c r="M51" s="49"/>
      <c r="N51" s="98"/>
      <c r="P51" s="68"/>
    </row>
    <row r="52" spans="3:16" s="60" customFormat="1" ht="12.75" x14ac:dyDescent="0.2">
      <c r="C52" s="9"/>
      <c r="D52" s="10" t="s">
        <v>93</v>
      </c>
      <c r="E52" s="11" t="s">
        <v>94</v>
      </c>
      <c r="F52" s="12" t="s">
        <v>95</v>
      </c>
      <c r="G52" s="13">
        <f t="shared" si="0"/>
        <v>0</v>
      </c>
      <c r="H52" s="13">
        <f>(H15+H28+H33)-(H34+H45+H46+H47+H48)</f>
        <v>0</v>
      </c>
      <c r="I52" s="13">
        <f>(I15+I28+I33)-(I34+I45+I46+I47+I48)</f>
        <v>0</v>
      </c>
      <c r="J52" s="13">
        <f>(J15+J28+J33)-(J34+J45+J46+J47+J48)</f>
        <v>0</v>
      </c>
      <c r="K52" s="13">
        <f>(K15+K28+K33)-(K34+K45+K46+K47+K48)</f>
        <v>0</v>
      </c>
      <c r="L52" s="61"/>
      <c r="M52" s="49"/>
      <c r="N52" s="98"/>
      <c r="P52" s="67">
        <v>210</v>
      </c>
    </row>
    <row r="53" spans="3:16" s="60" customFormat="1" ht="12.75" x14ac:dyDescent="0.2">
      <c r="C53" s="9"/>
      <c r="D53" s="99" t="s">
        <v>96</v>
      </c>
      <c r="E53" s="100"/>
      <c r="F53" s="100"/>
      <c r="G53" s="100"/>
      <c r="H53" s="100"/>
      <c r="I53" s="100"/>
      <c r="J53" s="100"/>
      <c r="K53" s="101"/>
      <c r="L53" s="61"/>
      <c r="M53" s="49"/>
      <c r="N53" s="98"/>
      <c r="P53" s="68"/>
    </row>
    <row r="54" spans="3:16" s="60" customFormat="1" ht="12.75" x14ac:dyDescent="0.2">
      <c r="C54" s="9"/>
      <c r="D54" s="10" t="s">
        <v>97</v>
      </c>
      <c r="E54" s="11" t="s">
        <v>13</v>
      </c>
      <c r="F54" s="12" t="s">
        <v>98</v>
      </c>
      <c r="G54" s="13">
        <f t="shared" si="0"/>
        <v>8.7381041666666661</v>
      </c>
      <c r="H54" s="13">
        <f>H55+H56+H59+H62</f>
        <v>1.1999875</v>
      </c>
      <c r="I54" s="13">
        <f>I55+I56+I59+I62</f>
        <v>6.6340041666666671</v>
      </c>
      <c r="J54" s="13">
        <f>J55+J56+J59+J62</f>
        <v>0.90411249999999999</v>
      </c>
      <c r="K54" s="13">
        <f>K55+K56+K59+K62</f>
        <v>0</v>
      </c>
      <c r="L54" s="61"/>
      <c r="M54" s="49"/>
      <c r="N54" s="98"/>
      <c r="P54" s="67">
        <v>300</v>
      </c>
    </row>
    <row r="55" spans="3:16" s="60" customFormat="1" ht="12.75" x14ac:dyDescent="0.2">
      <c r="C55" s="9"/>
      <c r="D55" s="10" t="s">
        <v>99</v>
      </c>
      <c r="E55" s="14" t="s">
        <v>15</v>
      </c>
      <c r="F55" s="12" t="s">
        <v>100</v>
      </c>
      <c r="G55" s="13">
        <f t="shared" si="0"/>
        <v>0</v>
      </c>
      <c r="H55" s="15"/>
      <c r="I55" s="15"/>
      <c r="J55" s="15"/>
      <c r="K55" s="15"/>
      <c r="L55" s="61"/>
      <c r="M55" s="49"/>
      <c r="N55" s="98"/>
      <c r="P55" s="67">
        <v>310</v>
      </c>
    </row>
    <row r="56" spans="3:16" s="60" customFormat="1" ht="12.75" x14ac:dyDescent="0.2">
      <c r="C56" s="9"/>
      <c r="D56" s="10" t="s">
        <v>101</v>
      </c>
      <c r="E56" s="14" t="s">
        <v>17</v>
      </c>
      <c r="F56" s="12" t="s">
        <v>102</v>
      </c>
      <c r="G56" s="13">
        <f t="shared" si="0"/>
        <v>0</v>
      </c>
      <c r="H56" s="13">
        <f>SUM(H57:H58)</f>
        <v>0</v>
      </c>
      <c r="I56" s="13">
        <f>SUM(I57:I58)</f>
        <v>0</v>
      </c>
      <c r="J56" s="13">
        <f>SUM(J57:J58)</f>
        <v>0</v>
      </c>
      <c r="K56" s="13">
        <f>SUM(K57:K58)</f>
        <v>0</v>
      </c>
      <c r="L56" s="61"/>
      <c r="M56" s="49"/>
      <c r="N56" s="98"/>
      <c r="P56" s="67">
        <v>320</v>
      </c>
    </row>
    <row r="57" spans="3:16" s="60" customFormat="1" ht="12.75" x14ac:dyDescent="0.2">
      <c r="C57" s="9"/>
      <c r="D57" s="16" t="s">
        <v>103</v>
      </c>
      <c r="E57" s="17"/>
      <c r="F57" s="18" t="s">
        <v>102</v>
      </c>
      <c r="G57" s="19"/>
      <c r="H57" s="19"/>
      <c r="I57" s="19"/>
      <c r="J57" s="19"/>
      <c r="K57" s="19"/>
      <c r="L57" s="61"/>
      <c r="M57" s="49"/>
      <c r="N57" s="98"/>
      <c r="P57" s="67"/>
    </row>
    <row r="58" spans="3:16" s="60" customFormat="1" ht="12.75" x14ac:dyDescent="0.2">
      <c r="C58" s="9"/>
      <c r="D58" s="20"/>
      <c r="E58" s="21" t="s">
        <v>20</v>
      </c>
      <c r="F58" s="22"/>
      <c r="G58" s="22"/>
      <c r="H58" s="22"/>
      <c r="I58" s="22"/>
      <c r="J58" s="22"/>
      <c r="K58" s="23"/>
      <c r="L58" s="61"/>
      <c r="M58" s="49"/>
      <c r="N58" s="98"/>
      <c r="P58" s="67"/>
    </row>
    <row r="59" spans="3:16" s="60" customFormat="1" ht="12.75" x14ac:dyDescent="0.2">
      <c r="C59" s="9"/>
      <c r="D59" s="10" t="s">
        <v>104</v>
      </c>
      <c r="E59" s="14" t="s">
        <v>22</v>
      </c>
      <c r="F59" s="12" t="s">
        <v>105</v>
      </c>
      <c r="G59" s="13">
        <f t="shared" si="0"/>
        <v>0</v>
      </c>
      <c r="H59" s="13">
        <f>SUM(H60:H61)</f>
        <v>0</v>
      </c>
      <c r="I59" s="13">
        <f>SUM(I60:I61)</f>
        <v>0</v>
      </c>
      <c r="J59" s="13">
        <f>SUM(J60:J61)</f>
        <v>0</v>
      </c>
      <c r="K59" s="13">
        <f>SUM(K60:K61)</f>
        <v>0</v>
      </c>
      <c r="L59" s="61"/>
      <c r="M59" s="49"/>
      <c r="N59" s="98"/>
      <c r="P59" s="67"/>
    </row>
    <row r="60" spans="3:16" s="60" customFormat="1" ht="12.75" x14ac:dyDescent="0.2">
      <c r="C60" s="9"/>
      <c r="D60" s="16" t="s">
        <v>106</v>
      </c>
      <c r="E60" s="17"/>
      <c r="F60" s="18" t="s">
        <v>105</v>
      </c>
      <c r="G60" s="19"/>
      <c r="H60" s="19"/>
      <c r="I60" s="19"/>
      <c r="J60" s="19"/>
      <c r="K60" s="19"/>
      <c r="L60" s="61"/>
      <c r="M60" s="49"/>
      <c r="N60" s="98"/>
      <c r="P60" s="67"/>
    </row>
    <row r="61" spans="3:16" s="60" customFormat="1" ht="12.75" x14ac:dyDescent="0.2">
      <c r="C61" s="9"/>
      <c r="D61" s="20"/>
      <c r="E61" s="21" t="s">
        <v>20</v>
      </c>
      <c r="F61" s="22"/>
      <c r="G61" s="22"/>
      <c r="H61" s="22"/>
      <c r="I61" s="22"/>
      <c r="J61" s="22"/>
      <c r="K61" s="23"/>
      <c r="L61" s="61"/>
      <c r="M61" s="49"/>
      <c r="N61" s="98"/>
      <c r="P61" s="67"/>
    </row>
    <row r="62" spans="3:16" s="60" customFormat="1" ht="12.75" x14ac:dyDescent="0.2">
      <c r="C62" s="9"/>
      <c r="D62" s="10" t="s">
        <v>107</v>
      </c>
      <c r="E62" s="14" t="s">
        <v>26</v>
      </c>
      <c r="F62" s="12" t="s">
        <v>108</v>
      </c>
      <c r="G62" s="13">
        <f t="shared" si="0"/>
        <v>8.7381041666666661</v>
      </c>
      <c r="H62" s="13">
        <f>SUM(H63:H66)</f>
        <v>1.1999875</v>
      </c>
      <c r="I62" s="13">
        <f>SUM(I63:I66)</f>
        <v>6.6340041666666671</v>
      </c>
      <c r="J62" s="13">
        <f>SUM(J63:J66)</f>
        <v>0.90411249999999999</v>
      </c>
      <c r="K62" s="13">
        <f>SUM(K63:K66)</f>
        <v>0</v>
      </c>
      <c r="L62" s="61"/>
      <c r="M62" s="49"/>
      <c r="N62" s="98"/>
      <c r="P62" s="67">
        <v>330</v>
      </c>
    </row>
    <row r="63" spans="3:16" s="60" customFormat="1" ht="12.75" x14ac:dyDescent="0.2">
      <c r="C63" s="9"/>
      <c r="D63" s="16" t="s">
        <v>109</v>
      </c>
      <c r="E63" s="17"/>
      <c r="F63" s="18" t="s">
        <v>108</v>
      </c>
      <c r="G63" s="19"/>
      <c r="H63" s="19"/>
      <c r="I63" s="19"/>
      <c r="J63" s="19"/>
      <c r="K63" s="19"/>
      <c r="L63" s="61"/>
      <c r="M63" s="49"/>
      <c r="N63" s="98"/>
      <c r="P63" s="67"/>
    </row>
    <row r="64" spans="3:16" s="60" customFormat="1" ht="15" x14ac:dyDescent="0.25">
      <c r="C64" s="24" t="s">
        <v>29</v>
      </c>
      <c r="D64" s="25" t="s">
        <v>110</v>
      </c>
      <c r="E64" s="26" t="s">
        <v>344</v>
      </c>
      <c r="F64" s="27">
        <v>1461</v>
      </c>
      <c r="G64" s="28">
        <f>SUM(H64:K64)</f>
        <v>8.3381597222222226</v>
      </c>
      <c r="H64" s="29">
        <f>H25/720</f>
        <v>1.1999875</v>
      </c>
      <c r="I64" s="29">
        <f>I25/720</f>
        <v>6.6340041666666671</v>
      </c>
      <c r="J64" s="29">
        <f>J25/720</f>
        <v>0.50416805555555555</v>
      </c>
      <c r="K64" s="29"/>
      <c r="L64" s="61"/>
      <c r="M64" s="69" t="s">
        <v>327</v>
      </c>
      <c r="N64" s="98"/>
      <c r="O64" s="70"/>
    </row>
    <row r="65" spans="3:16" s="60" customFormat="1" ht="15" x14ac:dyDescent="0.25">
      <c r="C65" s="24" t="s">
        <v>29</v>
      </c>
      <c r="D65" s="25" t="s">
        <v>343</v>
      </c>
      <c r="E65" s="26" t="s">
        <v>68</v>
      </c>
      <c r="F65" s="27">
        <v>1462</v>
      </c>
      <c r="G65" s="28">
        <f>SUM(H65:K65)</f>
        <v>0.39994444444444444</v>
      </c>
      <c r="H65" s="29"/>
      <c r="I65" s="29"/>
      <c r="J65" s="29">
        <f>J26/720</f>
        <v>0.39994444444444444</v>
      </c>
      <c r="K65" s="30"/>
      <c r="L65" s="61"/>
      <c r="M65" s="69" t="s">
        <v>330</v>
      </c>
      <c r="N65" s="98"/>
      <c r="O65" s="70"/>
    </row>
    <row r="66" spans="3:16" s="60" customFormat="1" ht="12.75" x14ac:dyDescent="0.2">
      <c r="C66" s="9"/>
      <c r="D66" s="20"/>
      <c r="E66" s="21" t="s">
        <v>20</v>
      </c>
      <c r="F66" s="22"/>
      <c r="G66" s="22"/>
      <c r="H66" s="22"/>
      <c r="I66" s="22"/>
      <c r="J66" s="22"/>
      <c r="K66" s="23"/>
      <c r="L66" s="61"/>
      <c r="M66" s="49"/>
      <c r="N66" s="98"/>
      <c r="P66" s="67"/>
    </row>
    <row r="67" spans="3:16" s="60" customFormat="1" ht="12.75" x14ac:dyDescent="0.2">
      <c r="C67" s="9"/>
      <c r="D67" s="10" t="s">
        <v>111</v>
      </c>
      <c r="E67" s="11" t="s">
        <v>32</v>
      </c>
      <c r="F67" s="12" t="s">
        <v>112</v>
      </c>
      <c r="G67" s="13">
        <f t="shared" si="0"/>
        <v>3.6888930555555559</v>
      </c>
      <c r="H67" s="13">
        <f>H69+H70+H71</f>
        <v>0</v>
      </c>
      <c r="I67" s="13">
        <f>I68+I70+I71</f>
        <v>0</v>
      </c>
      <c r="J67" s="13">
        <f>J68+J69+J71</f>
        <v>2.3727777777777779</v>
      </c>
      <c r="K67" s="13">
        <f>K68+K69+K70</f>
        <v>1.3161152777777778</v>
      </c>
      <c r="L67" s="61"/>
      <c r="M67" s="49"/>
      <c r="N67" s="98"/>
      <c r="P67" s="67">
        <v>340</v>
      </c>
    </row>
    <row r="68" spans="3:16" s="60" customFormat="1" ht="12.75" x14ac:dyDescent="0.2">
      <c r="C68" s="9"/>
      <c r="D68" s="10" t="s">
        <v>113</v>
      </c>
      <c r="E68" s="14" t="s">
        <v>7</v>
      </c>
      <c r="F68" s="12" t="s">
        <v>114</v>
      </c>
      <c r="G68" s="13">
        <f t="shared" si="0"/>
        <v>1.1997958333333332</v>
      </c>
      <c r="H68" s="31"/>
      <c r="I68" s="15"/>
      <c r="J68" s="15">
        <f>J29/720</f>
        <v>1.1997958333333332</v>
      </c>
      <c r="K68" s="15"/>
      <c r="L68" s="61"/>
      <c r="M68" s="49"/>
      <c r="N68" s="98"/>
      <c r="P68" s="67">
        <v>350</v>
      </c>
    </row>
    <row r="69" spans="3:16" s="60" customFormat="1" ht="12.75" x14ac:dyDescent="0.2">
      <c r="C69" s="9"/>
      <c r="D69" s="10" t="s">
        <v>115</v>
      </c>
      <c r="E69" s="14" t="s">
        <v>8</v>
      </c>
      <c r="F69" s="12" t="s">
        <v>116</v>
      </c>
      <c r="G69" s="13">
        <f t="shared" si="0"/>
        <v>1.1729819444444447</v>
      </c>
      <c r="H69" s="15"/>
      <c r="I69" s="38"/>
      <c r="J69" s="15">
        <f>J30/720</f>
        <v>1.1729819444444447</v>
      </c>
      <c r="K69" s="15"/>
      <c r="L69" s="61"/>
      <c r="M69" s="49"/>
      <c r="N69" s="98"/>
      <c r="P69" s="67">
        <v>360</v>
      </c>
    </row>
    <row r="70" spans="3:16" s="60" customFormat="1" ht="12.75" x14ac:dyDescent="0.2">
      <c r="C70" s="9"/>
      <c r="D70" s="10" t="s">
        <v>117</v>
      </c>
      <c r="E70" s="14" t="s">
        <v>9</v>
      </c>
      <c r="F70" s="12" t="s">
        <v>118</v>
      </c>
      <c r="G70" s="13">
        <f t="shared" si="0"/>
        <v>1.3161152777777778</v>
      </c>
      <c r="H70" s="15"/>
      <c r="I70" s="15"/>
      <c r="J70" s="31"/>
      <c r="K70" s="15">
        <f>K31/720</f>
        <v>1.3161152777777778</v>
      </c>
      <c r="L70" s="61"/>
      <c r="M70" s="49"/>
      <c r="N70" s="98"/>
      <c r="P70" s="67">
        <v>370</v>
      </c>
    </row>
    <row r="71" spans="3:16" s="60" customFormat="1" ht="12.75" x14ac:dyDescent="0.2">
      <c r="C71" s="9"/>
      <c r="D71" s="10" t="s">
        <v>119</v>
      </c>
      <c r="E71" s="14" t="s">
        <v>41</v>
      </c>
      <c r="F71" s="12" t="s">
        <v>120</v>
      </c>
      <c r="G71" s="13">
        <f t="shared" si="0"/>
        <v>0</v>
      </c>
      <c r="H71" s="15"/>
      <c r="I71" s="15"/>
      <c r="J71" s="15"/>
      <c r="K71" s="31"/>
      <c r="L71" s="61"/>
      <c r="M71" s="49"/>
      <c r="N71" s="98"/>
      <c r="P71" s="67">
        <v>380</v>
      </c>
    </row>
    <row r="72" spans="3:16" s="60" customFormat="1" ht="12.75" x14ac:dyDescent="0.2">
      <c r="C72" s="9"/>
      <c r="D72" s="10" t="s">
        <v>121</v>
      </c>
      <c r="E72" s="32" t="s">
        <v>44</v>
      </c>
      <c r="F72" s="12" t="s">
        <v>122</v>
      </c>
      <c r="G72" s="13">
        <f t="shared" si="0"/>
        <v>0</v>
      </c>
      <c r="H72" s="15"/>
      <c r="I72" s="15"/>
      <c r="J72" s="15"/>
      <c r="K72" s="15"/>
      <c r="L72" s="61"/>
      <c r="M72" s="49"/>
      <c r="N72" s="98"/>
      <c r="P72" s="67"/>
    </row>
    <row r="73" spans="3:16" s="60" customFormat="1" ht="12.75" x14ac:dyDescent="0.2">
      <c r="C73" s="9"/>
      <c r="D73" s="10" t="s">
        <v>123</v>
      </c>
      <c r="E73" s="11" t="s">
        <v>47</v>
      </c>
      <c r="F73" s="33" t="s">
        <v>124</v>
      </c>
      <c r="G73" s="13">
        <f t="shared" si="0"/>
        <v>8.5603833333333323</v>
      </c>
      <c r="H73" s="13">
        <f>H74+H76+H79+H83</f>
        <v>0</v>
      </c>
      <c r="I73" s="13">
        <f>I74+I76+I79+I83</f>
        <v>5.3702402777777776</v>
      </c>
      <c r="J73" s="13">
        <f>J74+J76+J79+J83</f>
        <v>1.9255388888888887</v>
      </c>
      <c r="K73" s="13">
        <f>K74+K76+K79+K83</f>
        <v>1.2646041666666668</v>
      </c>
      <c r="L73" s="61"/>
      <c r="M73" s="49"/>
      <c r="N73" s="98"/>
      <c r="P73" s="67">
        <v>390</v>
      </c>
    </row>
    <row r="74" spans="3:16" s="60" customFormat="1" ht="22.5" x14ac:dyDescent="0.2">
      <c r="C74" s="9"/>
      <c r="D74" s="10" t="s">
        <v>125</v>
      </c>
      <c r="E74" s="14" t="s">
        <v>50</v>
      </c>
      <c r="F74" s="12" t="s">
        <v>126</v>
      </c>
      <c r="G74" s="13">
        <f t="shared" si="0"/>
        <v>0</v>
      </c>
      <c r="H74" s="15"/>
      <c r="I74" s="15"/>
      <c r="J74" s="15"/>
      <c r="K74" s="15"/>
      <c r="L74" s="61"/>
      <c r="M74" s="49"/>
      <c r="N74" s="98"/>
      <c r="P74" s="67"/>
    </row>
    <row r="75" spans="3:16" s="60" customFormat="1" ht="12.75" x14ac:dyDescent="0.2">
      <c r="C75" s="9"/>
      <c r="D75" s="10" t="s">
        <v>127</v>
      </c>
      <c r="E75" s="34" t="s">
        <v>53</v>
      </c>
      <c r="F75" s="12" t="s">
        <v>128</v>
      </c>
      <c r="G75" s="13">
        <f t="shared" si="0"/>
        <v>0</v>
      </c>
      <c r="H75" s="15"/>
      <c r="I75" s="15"/>
      <c r="J75" s="15"/>
      <c r="K75" s="15"/>
      <c r="L75" s="61"/>
      <c r="M75" s="49"/>
      <c r="N75" s="98"/>
      <c r="P75" s="67"/>
    </row>
    <row r="76" spans="3:16" s="60" customFormat="1" ht="12.75" x14ac:dyDescent="0.2">
      <c r="C76" s="9"/>
      <c r="D76" s="10" t="s">
        <v>129</v>
      </c>
      <c r="E76" s="14" t="s">
        <v>56</v>
      </c>
      <c r="F76" s="12" t="s">
        <v>130</v>
      </c>
      <c r="G76" s="13">
        <f t="shared" si="0"/>
        <v>4.1622569444444446</v>
      </c>
      <c r="H76" s="15">
        <f>H37/720</f>
        <v>0</v>
      </c>
      <c r="I76" s="15">
        <f>I37/720</f>
        <v>0.97211388888888894</v>
      </c>
      <c r="J76" s="15">
        <f>J37/720</f>
        <v>1.9255388888888887</v>
      </c>
      <c r="K76" s="15">
        <f>K37/720</f>
        <v>1.2646041666666668</v>
      </c>
      <c r="L76" s="61"/>
      <c r="M76" s="49"/>
      <c r="N76" s="98"/>
      <c r="P76" s="67"/>
    </row>
    <row r="77" spans="3:16" s="60" customFormat="1" ht="12.75" x14ac:dyDescent="0.2">
      <c r="C77" s="9"/>
      <c r="D77" s="10" t="s">
        <v>131</v>
      </c>
      <c r="E77" s="34" t="s">
        <v>59</v>
      </c>
      <c r="F77" s="12" t="s">
        <v>132</v>
      </c>
      <c r="G77" s="13">
        <f t="shared" si="0"/>
        <v>0</v>
      </c>
      <c r="H77" s="15"/>
      <c r="I77" s="15"/>
      <c r="J77" s="15"/>
      <c r="K77" s="15"/>
      <c r="L77" s="61"/>
      <c r="M77" s="49"/>
      <c r="N77" s="98"/>
      <c r="P77" s="67"/>
    </row>
    <row r="78" spans="3:16" s="60" customFormat="1" ht="12.75" x14ac:dyDescent="0.2">
      <c r="C78" s="9"/>
      <c r="D78" s="10" t="s">
        <v>133</v>
      </c>
      <c r="E78" s="35" t="s">
        <v>53</v>
      </c>
      <c r="F78" s="12" t="s">
        <v>134</v>
      </c>
      <c r="G78" s="13">
        <f t="shared" si="0"/>
        <v>0</v>
      </c>
      <c r="H78" s="15"/>
      <c r="I78" s="15"/>
      <c r="J78" s="15"/>
      <c r="K78" s="15"/>
      <c r="L78" s="61"/>
      <c r="M78" s="49"/>
      <c r="N78" s="98"/>
      <c r="P78" s="67"/>
    </row>
    <row r="79" spans="3:16" s="60" customFormat="1" ht="12.75" x14ac:dyDescent="0.2">
      <c r="C79" s="9"/>
      <c r="D79" s="10" t="s">
        <v>135</v>
      </c>
      <c r="E79" s="14" t="s">
        <v>64</v>
      </c>
      <c r="F79" s="12" t="s">
        <v>136</v>
      </c>
      <c r="G79" s="13">
        <f t="shared" si="0"/>
        <v>4.3981263888888886</v>
      </c>
      <c r="H79" s="13">
        <f>SUM(H80:H82)</f>
        <v>0</v>
      </c>
      <c r="I79" s="13">
        <f>SUM(I80:I82)</f>
        <v>4.3981263888888886</v>
      </c>
      <c r="J79" s="13">
        <f>SUM(J80:J82)</f>
        <v>0</v>
      </c>
      <c r="K79" s="13">
        <f>SUM(K80:K82)</f>
        <v>0</v>
      </c>
      <c r="L79" s="61"/>
      <c r="M79" s="49"/>
      <c r="N79" s="98"/>
      <c r="P79" s="67"/>
    </row>
    <row r="80" spans="3:16" s="60" customFormat="1" ht="12.75" x14ac:dyDescent="0.2">
      <c r="C80" s="9"/>
      <c r="D80" s="16" t="s">
        <v>137</v>
      </c>
      <c r="E80" s="17"/>
      <c r="F80" s="18" t="s">
        <v>136</v>
      </c>
      <c r="G80" s="19"/>
      <c r="H80" s="19"/>
      <c r="I80" s="19"/>
      <c r="J80" s="19"/>
      <c r="K80" s="19"/>
      <c r="L80" s="61"/>
      <c r="M80" s="49"/>
      <c r="N80" s="98"/>
      <c r="P80" s="67"/>
    </row>
    <row r="81" spans="3:16" s="60" customFormat="1" ht="15" x14ac:dyDescent="0.25">
      <c r="C81" s="24" t="s">
        <v>29</v>
      </c>
      <c r="D81" s="25" t="s">
        <v>138</v>
      </c>
      <c r="E81" s="26" t="s">
        <v>68</v>
      </c>
      <c r="F81" s="27">
        <v>1781</v>
      </c>
      <c r="G81" s="28">
        <f>SUM(H81:K81)</f>
        <v>4.3981263888888886</v>
      </c>
      <c r="H81" s="29"/>
      <c r="I81" s="29">
        <f>I42/720</f>
        <v>4.3981263888888886</v>
      </c>
      <c r="J81" s="29"/>
      <c r="K81" s="30"/>
      <c r="L81" s="61"/>
      <c r="M81" s="69" t="s">
        <v>330</v>
      </c>
      <c r="N81" s="98"/>
      <c r="O81" s="70"/>
    </row>
    <row r="82" spans="3:16" s="60" customFormat="1" ht="12.75" x14ac:dyDescent="0.2">
      <c r="C82" s="9"/>
      <c r="D82" s="20"/>
      <c r="E82" s="21" t="s">
        <v>20</v>
      </c>
      <c r="F82" s="22"/>
      <c r="G82" s="22"/>
      <c r="H82" s="22"/>
      <c r="I82" s="22"/>
      <c r="J82" s="22"/>
      <c r="K82" s="23"/>
      <c r="L82" s="61"/>
      <c r="M82" s="49"/>
      <c r="N82" s="98"/>
      <c r="P82" s="67"/>
    </row>
    <row r="83" spans="3:16" s="60" customFormat="1" ht="12.75" x14ac:dyDescent="0.2">
      <c r="C83" s="9"/>
      <c r="D83" s="10" t="s">
        <v>139</v>
      </c>
      <c r="E83" s="37" t="s">
        <v>70</v>
      </c>
      <c r="F83" s="12" t="s">
        <v>140</v>
      </c>
      <c r="G83" s="13">
        <f t="shared" si="0"/>
        <v>0</v>
      </c>
      <c r="H83" s="15"/>
      <c r="I83" s="15"/>
      <c r="J83" s="15"/>
      <c r="K83" s="15"/>
      <c r="L83" s="61"/>
      <c r="M83" s="49"/>
      <c r="N83" s="98"/>
      <c r="P83" s="67">
        <v>410</v>
      </c>
    </row>
    <row r="84" spans="3:16" s="60" customFormat="1" ht="12.75" x14ac:dyDescent="0.2">
      <c r="C84" s="9"/>
      <c r="D84" s="10" t="s">
        <v>141</v>
      </c>
      <c r="E84" s="11" t="s">
        <v>73</v>
      </c>
      <c r="F84" s="12" t="s">
        <v>142</v>
      </c>
      <c r="G84" s="13">
        <f t="shared" si="0"/>
        <v>3.6888930555555559</v>
      </c>
      <c r="H84" s="15">
        <f>H45/720</f>
        <v>1.1997958333333332</v>
      </c>
      <c r="I84" s="15">
        <f>I45/720</f>
        <v>1.1729819444444447</v>
      </c>
      <c r="J84" s="15">
        <f>J45/720</f>
        <v>1.3161152777777778</v>
      </c>
      <c r="K84" s="15">
        <f>K45/720</f>
        <v>1.0855514018557086E-16</v>
      </c>
      <c r="L84" s="61"/>
      <c r="M84" s="49"/>
      <c r="N84" s="98"/>
      <c r="P84" s="67">
        <v>440</v>
      </c>
    </row>
    <row r="85" spans="3:16" s="60" customFormat="1" ht="12.75" x14ac:dyDescent="0.2">
      <c r="C85" s="9"/>
      <c r="D85" s="10" t="s">
        <v>143</v>
      </c>
      <c r="E85" s="11" t="s">
        <v>76</v>
      </c>
      <c r="F85" s="12" t="s">
        <v>144</v>
      </c>
      <c r="G85" s="13">
        <f t="shared" si="0"/>
        <v>0</v>
      </c>
      <c r="H85" s="15"/>
      <c r="I85" s="15"/>
      <c r="J85" s="15"/>
      <c r="K85" s="15"/>
      <c r="L85" s="61"/>
      <c r="M85" s="49"/>
      <c r="N85" s="98"/>
      <c r="P85" s="67">
        <v>450</v>
      </c>
    </row>
    <row r="86" spans="3:16" s="60" customFormat="1" ht="12.75" x14ac:dyDescent="0.2">
      <c r="C86" s="9"/>
      <c r="D86" s="10" t="s">
        <v>145</v>
      </c>
      <c r="E86" s="11" t="s">
        <v>79</v>
      </c>
      <c r="F86" s="12" t="s">
        <v>146</v>
      </c>
      <c r="G86" s="13">
        <f t="shared" si="0"/>
        <v>0</v>
      </c>
      <c r="H86" s="15"/>
      <c r="I86" s="15"/>
      <c r="J86" s="15"/>
      <c r="K86" s="15"/>
      <c r="L86" s="61"/>
      <c r="M86" s="49"/>
      <c r="N86" s="98"/>
      <c r="P86" s="67">
        <v>470</v>
      </c>
    </row>
    <row r="87" spans="3:16" s="60" customFormat="1" ht="12.75" x14ac:dyDescent="0.2">
      <c r="C87" s="9"/>
      <c r="D87" s="10" t="s">
        <v>147</v>
      </c>
      <c r="E87" s="11" t="s">
        <v>82</v>
      </c>
      <c r="F87" s="12" t="s">
        <v>148</v>
      </c>
      <c r="G87" s="13">
        <f t="shared" si="0"/>
        <v>0.17772083333333336</v>
      </c>
      <c r="H87" s="15">
        <f>H48/720</f>
        <v>1.9166666666666667E-4</v>
      </c>
      <c r="I87" s="15">
        <f>I48/720</f>
        <v>9.0781944444444443E-2</v>
      </c>
      <c r="J87" s="15">
        <f>J48/720</f>
        <v>3.5236111111111114E-2</v>
      </c>
      <c r="K87" s="15">
        <f>K48/720</f>
        <v>5.1511111111111112E-2</v>
      </c>
      <c r="L87" s="61"/>
      <c r="M87" s="49"/>
      <c r="N87" s="98"/>
      <c r="P87" s="67">
        <v>480</v>
      </c>
    </row>
    <row r="88" spans="3:16" s="60" customFormat="1" ht="12.75" x14ac:dyDescent="0.2">
      <c r="C88" s="9"/>
      <c r="D88" s="10" t="s">
        <v>149</v>
      </c>
      <c r="E88" s="14" t="s">
        <v>150</v>
      </c>
      <c r="F88" s="12" t="s">
        <v>151</v>
      </c>
      <c r="G88" s="13">
        <f t="shared" si="0"/>
        <v>0</v>
      </c>
      <c r="H88" s="15"/>
      <c r="I88" s="15"/>
      <c r="J88" s="15"/>
      <c r="K88" s="15"/>
      <c r="L88" s="61"/>
      <c r="M88" s="49"/>
      <c r="N88" s="98"/>
      <c r="P88" s="67">
        <v>490</v>
      </c>
    </row>
    <row r="89" spans="3:16" s="60" customFormat="1" ht="22.5" x14ac:dyDescent="0.2">
      <c r="C89" s="9"/>
      <c r="D89" s="10" t="s">
        <v>152</v>
      </c>
      <c r="E89" s="11" t="s">
        <v>88</v>
      </c>
      <c r="F89" s="12" t="s">
        <v>153</v>
      </c>
      <c r="G89" s="13">
        <f t="shared" si="0"/>
        <v>0.21182499999999999</v>
      </c>
      <c r="H89" s="15"/>
      <c r="I89" s="15">
        <f>I50/720</f>
        <v>5.2278409999999997E-2</v>
      </c>
      <c r="J89" s="15">
        <f>J50/720</f>
        <v>6.9711607500000008E-2</v>
      </c>
      <c r="K89" s="15">
        <f>K50/720</f>
        <v>8.9834982499999994E-2</v>
      </c>
      <c r="L89" s="61"/>
      <c r="M89" s="49"/>
      <c r="N89" s="98"/>
      <c r="P89" s="67"/>
    </row>
    <row r="90" spans="3:16" s="60" customFormat="1" ht="33.75" x14ac:dyDescent="0.2">
      <c r="C90" s="9"/>
      <c r="D90" s="10" t="s">
        <v>154</v>
      </c>
      <c r="E90" s="32" t="s">
        <v>91</v>
      </c>
      <c r="F90" s="12" t="s">
        <v>155</v>
      </c>
      <c r="G90" s="13">
        <f t="shared" si="0"/>
        <v>-3.4104166666666665E-2</v>
      </c>
      <c r="H90" s="13">
        <f>H87-H89</f>
        <v>1.9166666666666667E-4</v>
      </c>
      <c r="I90" s="13">
        <f>I87-I89</f>
        <v>3.8503534444444446E-2</v>
      </c>
      <c r="J90" s="13">
        <f>J87-J89</f>
        <v>-3.4475496388888895E-2</v>
      </c>
      <c r="K90" s="13">
        <f>K87-K89</f>
        <v>-3.8323871388888882E-2</v>
      </c>
      <c r="L90" s="61"/>
      <c r="M90" s="49"/>
      <c r="N90" s="98"/>
      <c r="P90" s="67"/>
    </row>
    <row r="91" spans="3:16" s="60" customFormat="1" ht="12.75" x14ac:dyDescent="0.2">
      <c r="C91" s="9"/>
      <c r="D91" s="10" t="s">
        <v>156</v>
      </c>
      <c r="E91" s="11" t="s">
        <v>94</v>
      </c>
      <c r="F91" s="12" t="s">
        <v>157</v>
      </c>
      <c r="G91" s="13">
        <f t="shared" si="0"/>
        <v>0</v>
      </c>
      <c r="H91" s="13">
        <f>(H54+H67+H72)-(H73+H84+H85+H86+H87)</f>
        <v>0</v>
      </c>
      <c r="I91" s="13">
        <f>(I54+I67+I72)-(I73+I84+I85+I86+I87)</f>
        <v>0</v>
      </c>
      <c r="J91" s="13">
        <f>(J54+J67+J72)-(J73+J84+J85+J86+J87)</f>
        <v>0</v>
      </c>
      <c r="K91" s="13">
        <f>(K54+K67+K72)-(K73+K84+K85+K86+K87)</f>
        <v>0</v>
      </c>
      <c r="L91" s="61"/>
      <c r="M91" s="49"/>
      <c r="N91" s="98"/>
      <c r="P91" s="67">
        <v>500</v>
      </c>
    </row>
    <row r="92" spans="3:16" s="60" customFormat="1" ht="12.75" x14ac:dyDescent="0.2">
      <c r="C92" s="9"/>
      <c r="D92" s="99" t="s">
        <v>158</v>
      </c>
      <c r="E92" s="100"/>
      <c r="F92" s="100"/>
      <c r="G92" s="100"/>
      <c r="H92" s="100"/>
      <c r="I92" s="100"/>
      <c r="J92" s="100"/>
      <c r="K92" s="101"/>
      <c r="L92" s="61"/>
      <c r="M92" s="49"/>
      <c r="N92" s="98"/>
      <c r="P92" s="68"/>
    </row>
    <row r="93" spans="3:16" s="60" customFormat="1" ht="12.75" x14ac:dyDescent="0.2">
      <c r="C93" s="9"/>
      <c r="D93" s="10" t="s">
        <v>159</v>
      </c>
      <c r="E93" s="11" t="s">
        <v>160</v>
      </c>
      <c r="F93" s="12" t="s">
        <v>161</v>
      </c>
      <c r="G93" s="13">
        <f t="shared" si="0"/>
        <v>0</v>
      </c>
      <c r="H93" s="15"/>
      <c r="I93" s="15"/>
      <c r="J93" s="15"/>
      <c r="K93" s="15"/>
      <c r="L93" s="61"/>
      <c r="M93" s="49"/>
      <c r="N93" s="98"/>
      <c r="P93" s="67">
        <v>600</v>
      </c>
    </row>
    <row r="94" spans="3:16" s="60" customFormat="1" ht="12.75" x14ac:dyDescent="0.2">
      <c r="C94" s="9"/>
      <c r="D94" s="10" t="s">
        <v>162</v>
      </c>
      <c r="E94" s="11" t="s">
        <v>163</v>
      </c>
      <c r="F94" s="12" t="s">
        <v>164</v>
      </c>
      <c r="G94" s="13">
        <f t="shared" si="0"/>
        <v>44.622999999999998</v>
      </c>
      <c r="H94" s="15"/>
      <c r="I94" s="15">
        <v>44.622999999999998</v>
      </c>
      <c r="J94" s="15"/>
      <c r="K94" s="15"/>
      <c r="L94" s="61"/>
      <c r="M94" s="49"/>
      <c r="N94" s="98"/>
      <c r="P94" s="67">
        <v>610</v>
      </c>
    </row>
    <row r="95" spans="3:16" s="60" customFormat="1" ht="12.75" x14ac:dyDescent="0.2">
      <c r="C95" s="9"/>
      <c r="D95" s="10" t="s">
        <v>165</v>
      </c>
      <c r="E95" s="11" t="s">
        <v>166</v>
      </c>
      <c r="F95" s="12" t="s">
        <v>167</v>
      </c>
      <c r="G95" s="13">
        <f t="shared" si="0"/>
        <v>0</v>
      </c>
      <c r="H95" s="15"/>
      <c r="I95" s="15"/>
      <c r="J95" s="15"/>
      <c r="K95" s="15"/>
      <c r="L95" s="61"/>
      <c r="M95" s="49"/>
      <c r="N95" s="98"/>
      <c r="P95" s="67">
        <v>620</v>
      </c>
    </row>
    <row r="96" spans="3:16" s="60" customFormat="1" ht="12.75" x14ac:dyDescent="0.2">
      <c r="C96" s="9"/>
      <c r="D96" s="99" t="s">
        <v>168</v>
      </c>
      <c r="E96" s="100"/>
      <c r="F96" s="100"/>
      <c r="G96" s="100"/>
      <c r="H96" s="100"/>
      <c r="I96" s="100"/>
      <c r="J96" s="100"/>
      <c r="K96" s="101"/>
      <c r="L96" s="61"/>
      <c r="M96" s="49"/>
      <c r="N96" s="98"/>
      <c r="P96" s="68"/>
    </row>
    <row r="97" spans="3:16" s="60" customFormat="1" ht="12.75" x14ac:dyDescent="0.2">
      <c r="C97" s="9"/>
      <c r="D97" s="10" t="s">
        <v>169</v>
      </c>
      <c r="E97" s="11" t="s">
        <v>170</v>
      </c>
      <c r="F97" s="12" t="s">
        <v>171</v>
      </c>
      <c r="G97" s="13">
        <f t="shared" si="0"/>
        <v>0</v>
      </c>
      <c r="H97" s="13">
        <f>SUM(H98:H99)</f>
        <v>0</v>
      </c>
      <c r="I97" s="13">
        <f>SUM(I98:I99)</f>
        <v>0</v>
      </c>
      <c r="J97" s="13">
        <f>SUM(J98:J99)</f>
        <v>0</v>
      </c>
      <c r="K97" s="13">
        <f>SUM(K98:K99)</f>
        <v>0</v>
      </c>
      <c r="L97" s="61"/>
      <c r="M97" s="49"/>
      <c r="N97" s="98"/>
      <c r="P97" s="67">
        <v>700</v>
      </c>
    </row>
    <row r="98" spans="3:16" ht="12.75" x14ac:dyDescent="0.2">
      <c r="C98" s="5"/>
      <c r="D98" s="39" t="s">
        <v>172</v>
      </c>
      <c r="E98" s="14" t="s">
        <v>173</v>
      </c>
      <c r="F98" s="12" t="s">
        <v>174</v>
      </c>
      <c r="G98" s="13">
        <f t="shared" si="0"/>
        <v>0</v>
      </c>
      <c r="H98" s="40"/>
      <c r="I98" s="40"/>
      <c r="J98" s="40"/>
      <c r="K98" s="40"/>
      <c r="L98" s="59"/>
      <c r="M98" s="49"/>
      <c r="N98" s="98"/>
      <c r="P98" s="67">
        <v>710</v>
      </c>
    </row>
    <row r="99" spans="3:16" ht="12.75" x14ac:dyDescent="0.2">
      <c r="C99" s="5"/>
      <c r="D99" s="39" t="s">
        <v>175</v>
      </c>
      <c r="E99" s="14" t="s">
        <v>176</v>
      </c>
      <c r="F99" s="12" t="s">
        <v>177</v>
      </c>
      <c r="G99" s="13">
        <f t="shared" si="0"/>
        <v>0</v>
      </c>
      <c r="H99" s="41">
        <f>H102</f>
        <v>0</v>
      </c>
      <c r="I99" s="41">
        <f>I102</f>
        <v>0</v>
      </c>
      <c r="J99" s="41">
        <f>J102</f>
        <v>0</v>
      </c>
      <c r="K99" s="41">
        <f>K102</f>
        <v>0</v>
      </c>
      <c r="L99" s="59"/>
      <c r="M99" s="49"/>
      <c r="N99" s="98"/>
      <c r="P99" s="67">
        <v>720</v>
      </c>
    </row>
    <row r="100" spans="3:16" ht="12.75" x14ac:dyDescent="0.2">
      <c r="C100" s="5"/>
      <c r="D100" s="39" t="s">
        <v>178</v>
      </c>
      <c r="E100" s="34" t="s">
        <v>179</v>
      </c>
      <c r="F100" s="12" t="s">
        <v>180</v>
      </c>
      <c r="G100" s="13">
        <f t="shared" si="0"/>
        <v>0</v>
      </c>
      <c r="H100" s="40"/>
      <c r="I100" s="40"/>
      <c r="J100" s="40"/>
      <c r="K100" s="40"/>
      <c r="L100" s="59"/>
      <c r="M100" s="49"/>
      <c r="N100" s="98"/>
      <c r="P100" s="67">
        <v>730</v>
      </c>
    </row>
    <row r="101" spans="3:16" ht="12.75" x14ac:dyDescent="0.2">
      <c r="C101" s="5"/>
      <c r="D101" s="39" t="s">
        <v>181</v>
      </c>
      <c r="E101" s="35" t="s">
        <v>182</v>
      </c>
      <c r="F101" s="12" t="s">
        <v>183</v>
      </c>
      <c r="G101" s="13">
        <f t="shared" si="0"/>
        <v>0</v>
      </c>
      <c r="H101" s="40"/>
      <c r="I101" s="40"/>
      <c r="J101" s="40"/>
      <c r="K101" s="40"/>
      <c r="L101" s="59"/>
      <c r="M101" s="49"/>
      <c r="N101" s="98"/>
      <c r="P101" s="67"/>
    </row>
    <row r="102" spans="3:16" ht="12.75" x14ac:dyDescent="0.2">
      <c r="C102" s="5"/>
      <c r="D102" s="39" t="s">
        <v>184</v>
      </c>
      <c r="E102" s="34" t="s">
        <v>185</v>
      </c>
      <c r="F102" s="12" t="s">
        <v>186</v>
      </c>
      <c r="G102" s="13">
        <f t="shared" si="0"/>
        <v>0</v>
      </c>
      <c r="H102" s="40"/>
      <c r="I102" s="40"/>
      <c r="J102" s="40"/>
      <c r="K102" s="40"/>
      <c r="L102" s="59"/>
      <c r="M102" s="49"/>
      <c r="N102" s="98"/>
      <c r="P102" s="67">
        <v>740</v>
      </c>
    </row>
    <row r="103" spans="3:16" ht="12.75" x14ac:dyDescent="0.2">
      <c r="C103" s="5"/>
      <c r="D103" s="39" t="s">
        <v>187</v>
      </c>
      <c r="E103" s="11" t="s">
        <v>188</v>
      </c>
      <c r="F103" s="12" t="s">
        <v>189</v>
      </c>
      <c r="G103" s="13">
        <f t="shared" si="0"/>
        <v>0</v>
      </c>
      <c r="H103" s="41">
        <f>H104+H120</f>
        <v>0</v>
      </c>
      <c r="I103" s="41">
        <f>I104+I120</f>
        <v>0</v>
      </c>
      <c r="J103" s="41">
        <f>J104+J120</f>
        <v>0</v>
      </c>
      <c r="K103" s="41">
        <f>K104+K120</f>
        <v>0</v>
      </c>
      <c r="L103" s="59"/>
      <c r="M103" s="49"/>
      <c r="N103" s="98"/>
      <c r="P103" s="67">
        <v>750</v>
      </c>
    </row>
    <row r="104" spans="3:16" ht="12.75" x14ac:dyDescent="0.2">
      <c r="C104" s="5"/>
      <c r="D104" s="39" t="s">
        <v>190</v>
      </c>
      <c r="E104" s="14" t="s">
        <v>191</v>
      </c>
      <c r="F104" s="12" t="s">
        <v>192</v>
      </c>
      <c r="G104" s="13">
        <f t="shared" si="0"/>
        <v>0</v>
      </c>
      <c r="H104" s="41">
        <f>H105+H106</f>
        <v>0</v>
      </c>
      <c r="I104" s="41">
        <f>I105+I106</f>
        <v>0</v>
      </c>
      <c r="J104" s="41">
        <f>J105+J106</f>
        <v>0</v>
      </c>
      <c r="K104" s="41">
        <f>K105+K106</f>
        <v>0</v>
      </c>
      <c r="L104" s="59"/>
      <c r="M104" s="49"/>
      <c r="N104" s="98"/>
      <c r="P104" s="67">
        <v>760</v>
      </c>
    </row>
    <row r="105" spans="3:16" ht="12.75" x14ac:dyDescent="0.2">
      <c r="C105" s="5"/>
      <c r="D105" s="39" t="s">
        <v>193</v>
      </c>
      <c r="E105" s="34" t="s">
        <v>194</v>
      </c>
      <c r="F105" s="12" t="s">
        <v>195</v>
      </c>
      <c r="G105" s="13">
        <f t="shared" si="0"/>
        <v>0</v>
      </c>
      <c r="H105" s="40"/>
      <c r="I105" s="40"/>
      <c r="J105" s="40"/>
      <c r="K105" s="40"/>
      <c r="L105" s="59"/>
      <c r="M105" s="49"/>
      <c r="N105" s="98"/>
      <c r="P105" s="67"/>
    </row>
    <row r="106" spans="3:16" ht="12.75" x14ac:dyDescent="0.2">
      <c r="C106" s="5"/>
      <c r="D106" s="39" t="s">
        <v>196</v>
      </c>
      <c r="E106" s="34" t="s">
        <v>197</v>
      </c>
      <c r="F106" s="12" t="s">
        <v>198</v>
      </c>
      <c r="G106" s="13">
        <f t="shared" si="0"/>
        <v>0</v>
      </c>
      <c r="H106" s="41">
        <f>H107+H110+H113+H116+H117+H118+H119</f>
        <v>0</v>
      </c>
      <c r="I106" s="41">
        <f>I107+I110+I113+I116+I117+I118+I119</f>
        <v>0</v>
      </c>
      <c r="J106" s="41">
        <f>J107+J110+J113+J116+J117+J118+J119</f>
        <v>0</v>
      </c>
      <c r="K106" s="41">
        <f>K107+K110+K113+K116+K117+K118+K119</f>
        <v>0</v>
      </c>
      <c r="L106" s="59"/>
      <c r="M106" s="49"/>
      <c r="N106" s="98"/>
      <c r="P106" s="67"/>
    </row>
    <row r="107" spans="3:16" ht="45" x14ac:dyDescent="0.2">
      <c r="C107" s="5"/>
      <c r="D107" s="39" t="s">
        <v>199</v>
      </c>
      <c r="E107" s="35" t="s">
        <v>200</v>
      </c>
      <c r="F107" s="12" t="s">
        <v>201</v>
      </c>
      <c r="G107" s="13">
        <f t="shared" si="0"/>
        <v>0</v>
      </c>
      <c r="H107" s="42">
        <f>H108+H109</f>
        <v>0</v>
      </c>
      <c r="I107" s="42">
        <f>I108+I109</f>
        <v>0</v>
      </c>
      <c r="J107" s="42">
        <f>J108+J109</f>
        <v>0</v>
      </c>
      <c r="K107" s="42">
        <f>K108+K109</f>
        <v>0</v>
      </c>
      <c r="L107" s="59"/>
      <c r="M107" s="49"/>
      <c r="N107" s="98"/>
      <c r="P107" s="67"/>
    </row>
    <row r="108" spans="3:16" ht="12.75" x14ac:dyDescent="0.2">
      <c r="C108" s="5"/>
      <c r="D108" s="39" t="s">
        <v>202</v>
      </c>
      <c r="E108" s="43" t="s">
        <v>203</v>
      </c>
      <c r="F108" s="12" t="s">
        <v>204</v>
      </c>
      <c r="G108" s="13">
        <f t="shared" si="0"/>
        <v>0</v>
      </c>
      <c r="H108" s="40"/>
      <c r="I108" s="40"/>
      <c r="J108" s="40"/>
      <c r="K108" s="40"/>
      <c r="L108" s="59"/>
      <c r="M108" s="49"/>
      <c r="N108" s="98"/>
      <c r="P108" s="67"/>
    </row>
    <row r="109" spans="3:16" ht="12.75" x14ac:dyDescent="0.2">
      <c r="C109" s="5"/>
      <c r="D109" s="39" t="s">
        <v>205</v>
      </c>
      <c r="E109" s="43" t="s">
        <v>206</v>
      </c>
      <c r="F109" s="12" t="s">
        <v>207</v>
      </c>
      <c r="G109" s="13">
        <f t="shared" si="0"/>
        <v>0</v>
      </c>
      <c r="H109" s="40"/>
      <c r="I109" s="40"/>
      <c r="J109" s="40"/>
      <c r="K109" s="40"/>
      <c r="L109" s="59"/>
      <c r="M109" s="49"/>
      <c r="N109" s="98"/>
      <c r="P109" s="67"/>
    </row>
    <row r="110" spans="3:16" ht="45" x14ac:dyDescent="0.2">
      <c r="C110" s="5"/>
      <c r="D110" s="39" t="s">
        <v>208</v>
      </c>
      <c r="E110" s="35" t="s">
        <v>209</v>
      </c>
      <c r="F110" s="12" t="s">
        <v>210</v>
      </c>
      <c r="G110" s="13">
        <f t="shared" si="0"/>
        <v>0</v>
      </c>
      <c r="H110" s="42">
        <f>H111+H112</f>
        <v>0</v>
      </c>
      <c r="I110" s="42">
        <f>I111+I112</f>
        <v>0</v>
      </c>
      <c r="J110" s="42">
        <f>J111+J112</f>
        <v>0</v>
      </c>
      <c r="K110" s="42">
        <f>K111+K112</f>
        <v>0</v>
      </c>
      <c r="L110" s="59"/>
      <c r="M110" s="49"/>
      <c r="N110" s="98"/>
      <c r="P110" s="67"/>
    </row>
    <row r="111" spans="3:16" ht="12.75" x14ac:dyDescent="0.2">
      <c r="C111" s="5"/>
      <c r="D111" s="39" t="s">
        <v>211</v>
      </c>
      <c r="E111" s="43" t="s">
        <v>203</v>
      </c>
      <c r="F111" s="12" t="s">
        <v>212</v>
      </c>
      <c r="G111" s="13">
        <f t="shared" si="0"/>
        <v>0</v>
      </c>
      <c r="H111" s="40"/>
      <c r="I111" s="40"/>
      <c r="J111" s="40"/>
      <c r="K111" s="40"/>
      <c r="L111" s="59"/>
      <c r="M111" s="49"/>
      <c r="N111" s="98"/>
      <c r="P111" s="67"/>
    </row>
    <row r="112" spans="3:16" ht="12.75" x14ac:dyDescent="0.2">
      <c r="C112" s="5"/>
      <c r="D112" s="39" t="s">
        <v>213</v>
      </c>
      <c r="E112" s="43" t="s">
        <v>206</v>
      </c>
      <c r="F112" s="12" t="s">
        <v>214</v>
      </c>
      <c r="G112" s="13">
        <f t="shared" si="0"/>
        <v>0</v>
      </c>
      <c r="H112" s="40"/>
      <c r="I112" s="40"/>
      <c r="J112" s="40"/>
      <c r="K112" s="40"/>
      <c r="L112" s="59"/>
      <c r="M112" s="49"/>
      <c r="N112" s="98"/>
      <c r="P112" s="67"/>
    </row>
    <row r="113" spans="3:16" ht="22.5" x14ac:dyDescent="0.2">
      <c r="C113" s="5"/>
      <c r="D113" s="39" t="s">
        <v>215</v>
      </c>
      <c r="E113" s="35" t="s">
        <v>216</v>
      </c>
      <c r="F113" s="12" t="s">
        <v>217</v>
      </c>
      <c r="G113" s="13">
        <f t="shared" si="0"/>
        <v>0</v>
      </c>
      <c r="H113" s="42">
        <f>H114+H115</f>
        <v>0</v>
      </c>
      <c r="I113" s="42">
        <f>I114+I115</f>
        <v>0</v>
      </c>
      <c r="J113" s="42">
        <f>J114+J115</f>
        <v>0</v>
      </c>
      <c r="K113" s="42">
        <f>K114+K115</f>
        <v>0</v>
      </c>
      <c r="L113" s="59"/>
      <c r="M113" s="49"/>
      <c r="N113" s="98"/>
      <c r="P113" s="67"/>
    </row>
    <row r="114" spans="3:16" ht="12.75" x14ac:dyDescent="0.2">
      <c r="C114" s="5"/>
      <c r="D114" s="39" t="s">
        <v>218</v>
      </c>
      <c r="E114" s="43" t="s">
        <v>203</v>
      </c>
      <c r="F114" s="12" t="s">
        <v>219</v>
      </c>
      <c r="G114" s="13">
        <f t="shared" si="0"/>
        <v>0</v>
      </c>
      <c r="H114" s="40"/>
      <c r="I114" s="40"/>
      <c r="J114" s="40"/>
      <c r="K114" s="40"/>
      <c r="L114" s="59"/>
      <c r="M114" s="49"/>
      <c r="N114" s="98"/>
      <c r="P114" s="67"/>
    </row>
    <row r="115" spans="3:16" ht="12.75" x14ac:dyDescent="0.2">
      <c r="C115" s="5"/>
      <c r="D115" s="39" t="s">
        <v>220</v>
      </c>
      <c r="E115" s="43" t="s">
        <v>206</v>
      </c>
      <c r="F115" s="12" t="s">
        <v>221</v>
      </c>
      <c r="G115" s="13">
        <f t="shared" si="0"/>
        <v>0</v>
      </c>
      <c r="H115" s="40"/>
      <c r="I115" s="40"/>
      <c r="J115" s="40"/>
      <c r="K115" s="40"/>
      <c r="L115" s="59"/>
      <c r="M115" s="49"/>
      <c r="N115" s="98"/>
      <c r="P115" s="67"/>
    </row>
    <row r="116" spans="3:16" ht="22.5" x14ac:dyDescent="0.2">
      <c r="C116" s="5"/>
      <c r="D116" s="39" t="s">
        <v>222</v>
      </c>
      <c r="E116" s="35" t="s">
        <v>223</v>
      </c>
      <c r="F116" s="12" t="s">
        <v>224</v>
      </c>
      <c r="G116" s="13">
        <f t="shared" si="0"/>
        <v>0</v>
      </c>
      <c r="H116" s="40"/>
      <c r="I116" s="40"/>
      <c r="J116" s="40"/>
      <c r="K116" s="40"/>
      <c r="L116" s="59"/>
      <c r="M116" s="49"/>
      <c r="N116" s="98"/>
      <c r="P116" s="67"/>
    </row>
    <row r="117" spans="3:16" ht="12.75" x14ac:dyDescent="0.2">
      <c r="C117" s="5"/>
      <c r="D117" s="39" t="s">
        <v>225</v>
      </c>
      <c r="E117" s="35" t="s">
        <v>226</v>
      </c>
      <c r="F117" s="12" t="s">
        <v>227</v>
      </c>
      <c r="G117" s="13">
        <f t="shared" si="0"/>
        <v>0</v>
      </c>
      <c r="H117" s="40"/>
      <c r="I117" s="40"/>
      <c r="J117" s="40"/>
      <c r="K117" s="40"/>
      <c r="L117" s="59"/>
      <c r="M117" s="49"/>
      <c r="N117" s="98"/>
      <c r="P117" s="67"/>
    </row>
    <row r="118" spans="3:16" ht="45" x14ac:dyDescent="0.2">
      <c r="C118" s="5"/>
      <c r="D118" s="39" t="s">
        <v>228</v>
      </c>
      <c r="E118" s="35" t="s">
        <v>229</v>
      </c>
      <c r="F118" s="12" t="s">
        <v>230</v>
      </c>
      <c r="G118" s="13">
        <f t="shared" si="0"/>
        <v>0</v>
      </c>
      <c r="H118" s="40"/>
      <c r="I118" s="40"/>
      <c r="J118" s="40"/>
      <c r="K118" s="40"/>
      <c r="L118" s="59"/>
      <c r="M118" s="49"/>
      <c r="N118" s="98"/>
      <c r="P118" s="67"/>
    </row>
    <row r="119" spans="3:16" ht="22.5" x14ac:dyDescent="0.2">
      <c r="C119" s="5"/>
      <c r="D119" s="39" t="s">
        <v>231</v>
      </c>
      <c r="E119" s="35" t="s">
        <v>232</v>
      </c>
      <c r="F119" s="12" t="s">
        <v>233</v>
      </c>
      <c r="G119" s="13">
        <f t="shared" si="0"/>
        <v>0</v>
      </c>
      <c r="H119" s="40"/>
      <c r="I119" s="40"/>
      <c r="J119" s="40"/>
      <c r="K119" s="40"/>
      <c r="L119" s="59"/>
      <c r="M119" s="49"/>
      <c r="N119" s="98"/>
      <c r="P119" s="67"/>
    </row>
    <row r="120" spans="3:16" ht="12.75" x14ac:dyDescent="0.2">
      <c r="C120" s="5"/>
      <c r="D120" s="39" t="s">
        <v>234</v>
      </c>
      <c r="E120" s="14" t="s">
        <v>235</v>
      </c>
      <c r="F120" s="12" t="s">
        <v>236</v>
      </c>
      <c r="G120" s="13">
        <f t="shared" si="0"/>
        <v>0</v>
      </c>
      <c r="H120" s="41">
        <f>H123</f>
        <v>0</v>
      </c>
      <c r="I120" s="41">
        <f>I123</f>
        <v>0</v>
      </c>
      <c r="J120" s="41">
        <f>J123</f>
        <v>0</v>
      </c>
      <c r="K120" s="41">
        <f>K123</f>
        <v>0</v>
      </c>
      <c r="L120" s="59"/>
      <c r="M120" s="49"/>
      <c r="N120" s="98"/>
      <c r="P120" s="67">
        <v>770</v>
      </c>
    </row>
    <row r="121" spans="3:16" ht="12.75" x14ac:dyDescent="0.2">
      <c r="C121" s="5"/>
      <c r="D121" s="39" t="s">
        <v>237</v>
      </c>
      <c r="E121" s="34" t="s">
        <v>179</v>
      </c>
      <c r="F121" s="12" t="s">
        <v>238</v>
      </c>
      <c r="G121" s="13">
        <f t="shared" si="0"/>
        <v>0</v>
      </c>
      <c r="H121" s="40"/>
      <c r="I121" s="40"/>
      <c r="J121" s="40"/>
      <c r="K121" s="40"/>
      <c r="L121" s="59"/>
      <c r="M121" s="49"/>
      <c r="N121" s="98"/>
      <c r="P121" s="67">
        <v>780</v>
      </c>
    </row>
    <row r="122" spans="3:16" ht="12.75" x14ac:dyDescent="0.2">
      <c r="C122" s="5"/>
      <c r="D122" s="39" t="s">
        <v>239</v>
      </c>
      <c r="E122" s="35" t="s">
        <v>240</v>
      </c>
      <c r="F122" s="12" t="s">
        <v>241</v>
      </c>
      <c r="G122" s="13">
        <f t="shared" si="0"/>
        <v>0</v>
      </c>
      <c r="H122" s="40"/>
      <c r="I122" s="40"/>
      <c r="J122" s="40"/>
      <c r="K122" s="40"/>
      <c r="L122" s="59"/>
      <c r="M122" s="49"/>
      <c r="N122" s="98"/>
      <c r="P122" s="67"/>
    </row>
    <row r="123" spans="3:16" ht="12.75" x14ac:dyDescent="0.2">
      <c r="C123" s="5"/>
      <c r="D123" s="39" t="s">
        <v>242</v>
      </c>
      <c r="E123" s="34" t="s">
        <v>185</v>
      </c>
      <c r="F123" s="12" t="s">
        <v>243</v>
      </c>
      <c r="G123" s="13">
        <f t="shared" si="0"/>
        <v>0</v>
      </c>
      <c r="H123" s="40"/>
      <c r="I123" s="40"/>
      <c r="J123" s="40"/>
      <c r="K123" s="40"/>
      <c r="L123" s="59"/>
      <c r="M123" s="49"/>
      <c r="N123" s="98"/>
      <c r="P123" s="67">
        <v>790</v>
      </c>
    </row>
    <row r="124" spans="3:16" ht="22.5" x14ac:dyDescent="0.2">
      <c r="C124" s="5"/>
      <c r="D124" s="39" t="s">
        <v>244</v>
      </c>
      <c r="E124" s="32" t="s">
        <v>245</v>
      </c>
      <c r="F124" s="12" t="s">
        <v>246</v>
      </c>
      <c r="G124" s="13">
        <f t="shared" si="0"/>
        <v>6291.4350000000004</v>
      </c>
      <c r="H124" s="41">
        <f>SUM(H125:H126)</f>
        <v>0.13800000000000001</v>
      </c>
      <c r="I124" s="41">
        <f>SUM(I125:I126)</f>
        <v>3989.8530000000001</v>
      </c>
      <c r="J124" s="41">
        <f>SUM(J125:J126)</f>
        <v>1390.9289999999999</v>
      </c>
      <c r="K124" s="41">
        <f>SUM(K125:K126)</f>
        <v>910.51499999999999</v>
      </c>
      <c r="L124" s="59"/>
      <c r="M124" s="49"/>
      <c r="N124" s="98"/>
      <c r="P124" s="67"/>
    </row>
    <row r="125" spans="3:16" ht="12.75" x14ac:dyDescent="0.2">
      <c r="C125" s="5"/>
      <c r="D125" s="39" t="s">
        <v>247</v>
      </c>
      <c r="E125" s="14" t="s">
        <v>173</v>
      </c>
      <c r="F125" s="12" t="s">
        <v>248</v>
      </c>
      <c r="G125" s="13">
        <f t="shared" si="0"/>
        <v>0</v>
      </c>
      <c r="H125" s="40"/>
      <c r="I125" s="40"/>
      <c r="J125" s="40"/>
      <c r="K125" s="40"/>
      <c r="L125" s="59"/>
      <c r="M125" s="49"/>
      <c r="N125" s="98"/>
      <c r="P125" s="67"/>
    </row>
    <row r="126" spans="3:16" ht="12.75" x14ac:dyDescent="0.2">
      <c r="C126" s="5"/>
      <c r="D126" s="39" t="s">
        <v>249</v>
      </c>
      <c r="E126" s="14" t="s">
        <v>176</v>
      </c>
      <c r="F126" s="12" t="s">
        <v>250</v>
      </c>
      <c r="G126" s="13">
        <f t="shared" si="0"/>
        <v>6291.4350000000004</v>
      </c>
      <c r="H126" s="41">
        <f>H128</f>
        <v>0.13800000000000001</v>
      </c>
      <c r="I126" s="41">
        <f>I128</f>
        <v>3989.8530000000001</v>
      </c>
      <c r="J126" s="41">
        <f>J128</f>
        <v>1390.9289999999999</v>
      </c>
      <c r="K126" s="41">
        <f>K128</f>
        <v>910.51499999999999</v>
      </c>
      <c r="L126" s="59"/>
      <c r="M126" s="49"/>
      <c r="N126" s="98"/>
      <c r="P126" s="67"/>
    </row>
    <row r="127" spans="3:16" ht="12.75" x14ac:dyDescent="0.2">
      <c r="C127" s="5"/>
      <c r="D127" s="39" t="s">
        <v>251</v>
      </c>
      <c r="E127" s="34" t="s">
        <v>252</v>
      </c>
      <c r="F127" s="12" t="s">
        <v>253</v>
      </c>
      <c r="G127" s="13">
        <f t="shared" si="0"/>
        <v>44.622999999999998</v>
      </c>
      <c r="H127" s="40"/>
      <c r="I127" s="40">
        <f>I94</f>
        <v>44.622999999999998</v>
      </c>
      <c r="J127" s="40"/>
      <c r="K127" s="40"/>
      <c r="L127" s="59"/>
      <c r="M127" s="49"/>
      <c r="N127" s="98"/>
      <c r="P127" s="67"/>
    </row>
    <row r="128" spans="3:16" ht="12.75" x14ac:dyDescent="0.2">
      <c r="C128" s="5"/>
      <c r="D128" s="39" t="s">
        <v>254</v>
      </c>
      <c r="E128" s="34" t="s">
        <v>185</v>
      </c>
      <c r="F128" s="12" t="s">
        <v>255</v>
      </c>
      <c r="G128" s="13">
        <f t="shared" si="0"/>
        <v>6291.4350000000004</v>
      </c>
      <c r="H128" s="40">
        <f>H48+H34</f>
        <v>0.13800000000000001</v>
      </c>
      <c r="I128" s="40">
        <f>I34+123.28</f>
        <v>3989.8530000000001</v>
      </c>
      <c r="J128" s="40">
        <f>J34+0.001+4.54</f>
        <v>1390.9289999999999</v>
      </c>
      <c r="K128" s="40">
        <f>K34</f>
        <v>910.51499999999999</v>
      </c>
      <c r="L128" s="59"/>
      <c r="M128" s="49"/>
      <c r="N128" s="98"/>
      <c r="P128" s="67"/>
    </row>
    <row r="129" spans="3:16" ht="12.75" x14ac:dyDescent="0.2">
      <c r="C129" s="5"/>
      <c r="D129" s="99" t="s">
        <v>256</v>
      </c>
      <c r="E129" s="100"/>
      <c r="F129" s="100"/>
      <c r="G129" s="100"/>
      <c r="H129" s="100"/>
      <c r="I129" s="100"/>
      <c r="J129" s="100"/>
      <c r="K129" s="101"/>
      <c r="L129" s="59"/>
      <c r="M129" s="49"/>
      <c r="N129" s="98"/>
      <c r="P129" s="71"/>
    </row>
    <row r="130" spans="3:16" ht="22.5" x14ac:dyDescent="0.2">
      <c r="C130" s="5"/>
      <c r="D130" s="39" t="s">
        <v>257</v>
      </c>
      <c r="E130" s="11" t="s">
        <v>258</v>
      </c>
      <c r="F130" s="12" t="s">
        <v>259</v>
      </c>
      <c r="G130" s="13">
        <f t="shared" si="0"/>
        <v>0</v>
      </c>
      <c r="H130" s="41">
        <f>SUM( H131:H132)</f>
        <v>0</v>
      </c>
      <c r="I130" s="41">
        <f>SUM( I131:I132)</f>
        <v>0</v>
      </c>
      <c r="J130" s="41">
        <f>SUM( J131:J132)</f>
        <v>0</v>
      </c>
      <c r="K130" s="41">
        <f>SUM( K131:K132)</f>
        <v>0</v>
      </c>
      <c r="L130" s="59"/>
      <c r="M130" s="49"/>
      <c r="N130" s="98"/>
      <c r="P130" s="67">
        <v>800</v>
      </c>
    </row>
    <row r="131" spans="3:16" ht="12.75" x14ac:dyDescent="0.2">
      <c r="C131" s="5"/>
      <c r="D131" s="39" t="s">
        <v>260</v>
      </c>
      <c r="E131" s="14" t="s">
        <v>173</v>
      </c>
      <c r="F131" s="12" t="s">
        <v>261</v>
      </c>
      <c r="G131" s="13">
        <f t="shared" si="0"/>
        <v>0</v>
      </c>
      <c r="H131" s="40"/>
      <c r="I131" s="40"/>
      <c r="J131" s="40"/>
      <c r="K131" s="40"/>
      <c r="L131" s="59"/>
      <c r="M131" s="49"/>
      <c r="N131" s="98"/>
      <c r="P131" s="67">
        <v>810</v>
      </c>
    </row>
    <row r="132" spans="3:16" ht="12.75" x14ac:dyDescent="0.2">
      <c r="C132" s="5"/>
      <c r="D132" s="39" t="s">
        <v>262</v>
      </c>
      <c r="E132" s="14" t="s">
        <v>176</v>
      </c>
      <c r="F132" s="12" t="s">
        <v>263</v>
      </c>
      <c r="G132" s="13">
        <f t="shared" si="0"/>
        <v>0</v>
      </c>
      <c r="H132" s="41">
        <f>H133+H135</f>
        <v>0</v>
      </c>
      <c r="I132" s="41">
        <f>I133+I135</f>
        <v>0</v>
      </c>
      <c r="J132" s="41">
        <f>J133+J135</f>
        <v>0</v>
      </c>
      <c r="K132" s="41">
        <f>K133+K135</f>
        <v>0</v>
      </c>
      <c r="L132" s="59"/>
      <c r="M132" s="49"/>
      <c r="N132" s="98"/>
      <c r="P132" s="67">
        <v>820</v>
      </c>
    </row>
    <row r="133" spans="3:16" ht="12.75" x14ac:dyDescent="0.2">
      <c r="C133" s="5"/>
      <c r="D133" s="39" t="s">
        <v>264</v>
      </c>
      <c r="E133" s="34" t="s">
        <v>265</v>
      </c>
      <c r="F133" s="12" t="s">
        <v>266</v>
      </c>
      <c r="G133" s="13">
        <f t="shared" si="0"/>
        <v>0</v>
      </c>
      <c r="H133" s="40"/>
      <c r="I133" s="40"/>
      <c r="J133" s="40"/>
      <c r="K133" s="40"/>
      <c r="L133" s="59"/>
      <c r="M133" s="49"/>
      <c r="N133" s="98"/>
      <c r="P133" s="67">
        <v>830</v>
      </c>
    </row>
    <row r="134" spans="3:16" ht="12.75" x14ac:dyDescent="0.2">
      <c r="C134" s="5"/>
      <c r="D134" s="39" t="s">
        <v>267</v>
      </c>
      <c r="E134" s="35" t="s">
        <v>268</v>
      </c>
      <c r="F134" s="12" t="s">
        <v>269</v>
      </c>
      <c r="G134" s="13">
        <f t="shared" si="0"/>
        <v>0</v>
      </c>
      <c r="H134" s="40"/>
      <c r="I134" s="40"/>
      <c r="J134" s="40"/>
      <c r="K134" s="40"/>
      <c r="L134" s="59"/>
      <c r="M134" s="49"/>
      <c r="N134" s="98"/>
      <c r="P134" s="71"/>
    </row>
    <row r="135" spans="3:16" ht="12.75" x14ac:dyDescent="0.2">
      <c r="C135" s="5"/>
      <c r="D135" s="39" t="s">
        <v>270</v>
      </c>
      <c r="E135" s="34" t="s">
        <v>271</v>
      </c>
      <c r="F135" s="12" t="s">
        <v>272</v>
      </c>
      <c r="G135" s="13">
        <f t="shared" si="0"/>
        <v>0</v>
      </c>
      <c r="H135" s="40"/>
      <c r="I135" s="40"/>
      <c r="J135" s="40"/>
      <c r="K135" s="40"/>
      <c r="L135" s="59"/>
      <c r="M135" s="49"/>
      <c r="N135" s="98"/>
      <c r="P135" s="67">
        <v>840</v>
      </c>
    </row>
    <row r="136" spans="3:16" ht="12.75" x14ac:dyDescent="0.2">
      <c r="C136" s="5"/>
      <c r="D136" s="39" t="s">
        <v>19</v>
      </c>
      <c r="E136" s="11" t="s">
        <v>273</v>
      </c>
      <c r="F136" s="12" t="s">
        <v>274</v>
      </c>
      <c r="G136" s="13">
        <f t="shared" si="0"/>
        <v>0</v>
      </c>
      <c r="H136" s="42">
        <f>SUM( H137+H142)</f>
        <v>0</v>
      </c>
      <c r="I136" s="42">
        <f>SUM( I137+I142)</f>
        <v>0</v>
      </c>
      <c r="J136" s="42">
        <f>SUM( J137+J142)</f>
        <v>0</v>
      </c>
      <c r="K136" s="42">
        <f>SUM( K137+K142)</f>
        <v>0</v>
      </c>
      <c r="L136" s="62"/>
      <c r="M136" s="49"/>
      <c r="N136" s="98"/>
      <c r="P136" s="67">
        <v>850</v>
      </c>
    </row>
    <row r="137" spans="3:16" ht="12.75" x14ac:dyDescent="0.2">
      <c r="C137" s="5"/>
      <c r="D137" s="39" t="s">
        <v>275</v>
      </c>
      <c r="E137" s="14" t="s">
        <v>173</v>
      </c>
      <c r="F137" s="12" t="s">
        <v>276</v>
      </c>
      <c r="G137" s="13">
        <f t="shared" ref="G137:G150" si="1">SUM(H137:K137)</f>
        <v>0</v>
      </c>
      <c r="H137" s="42">
        <f>SUM( H138:H139)</f>
        <v>0</v>
      </c>
      <c r="I137" s="42">
        <f>SUM( I138:I139)</f>
        <v>0</v>
      </c>
      <c r="J137" s="42">
        <f>SUM( J138:J139)</f>
        <v>0</v>
      </c>
      <c r="K137" s="42">
        <f>SUM( K138:K139)</f>
        <v>0</v>
      </c>
      <c r="L137" s="62"/>
      <c r="M137" s="49"/>
      <c r="N137" s="98"/>
      <c r="P137" s="67">
        <v>860</v>
      </c>
    </row>
    <row r="138" spans="3:16" ht="12.75" x14ac:dyDescent="0.2">
      <c r="C138" s="5"/>
      <c r="D138" s="39" t="s">
        <v>277</v>
      </c>
      <c r="E138" s="34" t="s">
        <v>194</v>
      </c>
      <c r="F138" s="12" t="s">
        <v>278</v>
      </c>
      <c r="G138" s="13">
        <f t="shared" si="1"/>
        <v>0</v>
      </c>
      <c r="H138" s="44"/>
      <c r="I138" s="44"/>
      <c r="J138" s="44"/>
      <c r="K138" s="44"/>
      <c r="L138" s="62"/>
      <c r="M138" s="49"/>
      <c r="N138" s="98"/>
      <c r="P138" s="67"/>
    </row>
    <row r="139" spans="3:16" ht="12.75" x14ac:dyDescent="0.2">
      <c r="C139" s="5"/>
      <c r="D139" s="39" t="s">
        <v>279</v>
      </c>
      <c r="E139" s="34" t="s">
        <v>197</v>
      </c>
      <c r="F139" s="12" t="s">
        <v>280</v>
      </c>
      <c r="G139" s="13">
        <f t="shared" si="1"/>
        <v>0</v>
      </c>
      <c r="H139" s="42">
        <f>H140+H141</f>
        <v>0</v>
      </c>
      <c r="I139" s="42">
        <f>I140+I141</f>
        <v>0</v>
      </c>
      <c r="J139" s="42">
        <f>J140+J141</f>
        <v>0</v>
      </c>
      <c r="K139" s="42">
        <f>K140+K141</f>
        <v>0</v>
      </c>
      <c r="L139" s="62"/>
      <c r="M139" s="49"/>
      <c r="N139" s="98"/>
      <c r="P139" s="67"/>
    </row>
    <row r="140" spans="3:16" ht="12.75" x14ac:dyDescent="0.2">
      <c r="C140" s="5"/>
      <c r="D140" s="39" t="s">
        <v>281</v>
      </c>
      <c r="E140" s="35" t="s">
        <v>203</v>
      </c>
      <c r="F140" s="12" t="s">
        <v>282</v>
      </c>
      <c r="G140" s="13">
        <f t="shared" si="1"/>
        <v>0</v>
      </c>
      <c r="H140" s="44"/>
      <c r="I140" s="44"/>
      <c r="J140" s="44"/>
      <c r="K140" s="44"/>
      <c r="L140" s="62"/>
      <c r="M140" s="49"/>
      <c r="N140" s="98"/>
      <c r="P140" s="67"/>
    </row>
    <row r="141" spans="3:16" ht="12.75" x14ac:dyDescent="0.2">
      <c r="C141" s="5"/>
      <c r="D141" s="39" t="s">
        <v>283</v>
      </c>
      <c r="E141" s="35" t="s">
        <v>284</v>
      </c>
      <c r="F141" s="12" t="s">
        <v>285</v>
      </c>
      <c r="G141" s="13">
        <f t="shared" si="1"/>
        <v>0</v>
      </c>
      <c r="H141" s="44"/>
      <c r="I141" s="44"/>
      <c r="J141" s="44"/>
      <c r="K141" s="44"/>
      <c r="L141" s="62"/>
      <c r="M141" s="49"/>
      <c r="N141" s="98"/>
      <c r="P141" s="67"/>
    </row>
    <row r="142" spans="3:16" ht="12.75" x14ac:dyDescent="0.2">
      <c r="C142" s="5"/>
      <c r="D142" s="39" t="s">
        <v>286</v>
      </c>
      <c r="E142" s="14" t="s">
        <v>235</v>
      </c>
      <c r="F142" s="12" t="s">
        <v>287</v>
      </c>
      <c r="G142" s="13">
        <f t="shared" si="1"/>
        <v>0</v>
      </c>
      <c r="H142" s="42">
        <f>H143+H145</f>
        <v>0</v>
      </c>
      <c r="I142" s="42">
        <f>I143+I145</f>
        <v>0</v>
      </c>
      <c r="J142" s="42">
        <f>J143+J145</f>
        <v>0</v>
      </c>
      <c r="K142" s="42">
        <f>K143+K145</f>
        <v>0</v>
      </c>
      <c r="L142" s="62"/>
      <c r="M142" s="49"/>
      <c r="N142" s="98"/>
      <c r="P142" s="67">
        <v>870</v>
      </c>
    </row>
    <row r="143" spans="3:16" ht="12.75" x14ac:dyDescent="0.2">
      <c r="C143" s="5"/>
      <c r="D143" s="39" t="s">
        <v>288</v>
      </c>
      <c r="E143" s="34" t="s">
        <v>265</v>
      </c>
      <c r="F143" s="12" t="s">
        <v>289</v>
      </c>
      <c r="G143" s="13">
        <f t="shared" si="1"/>
        <v>0</v>
      </c>
      <c r="H143" s="40"/>
      <c r="I143" s="40"/>
      <c r="J143" s="40"/>
      <c r="K143" s="40"/>
      <c r="L143" s="62"/>
      <c r="M143" s="49"/>
      <c r="N143" s="98"/>
      <c r="P143" s="67">
        <v>880</v>
      </c>
    </row>
    <row r="144" spans="3:16" ht="12.75" x14ac:dyDescent="0.2">
      <c r="C144" s="5"/>
      <c r="D144" s="39" t="s">
        <v>290</v>
      </c>
      <c r="E144" s="35" t="s">
        <v>268</v>
      </c>
      <c r="F144" s="12" t="s">
        <v>291</v>
      </c>
      <c r="G144" s="13">
        <f t="shared" si="1"/>
        <v>0</v>
      </c>
      <c r="H144" s="40"/>
      <c r="I144" s="40"/>
      <c r="J144" s="40"/>
      <c r="K144" s="40"/>
      <c r="L144" s="62"/>
      <c r="M144" s="49"/>
      <c r="N144" s="98"/>
      <c r="P144" s="67"/>
    </row>
    <row r="145" spans="3:19" ht="12.75" x14ac:dyDescent="0.2">
      <c r="C145" s="5"/>
      <c r="D145" s="39" t="s">
        <v>292</v>
      </c>
      <c r="E145" s="34" t="s">
        <v>271</v>
      </c>
      <c r="F145" s="12" t="s">
        <v>293</v>
      </c>
      <c r="G145" s="13">
        <f t="shared" si="1"/>
        <v>0</v>
      </c>
      <c r="H145" s="45"/>
      <c r="I145" s="45"/>
      <c r="J145" s="45"/>
      <c r="K145" s="45"/>
      <c r="L145" s="62"/>
      <c r="M145" s="49"/>
      <c r="N145" s="98"/>
      <c r="P145" s="67">
        <v>890</v>
      </c>
    </row>
    <row r="146" spans="3:19" ht="22.5" x14ac:dyDescent="0.2">
      <c r="C146" s="5"/>
      <c r="D146" s="39" t="s">
        <v>294</v>
      </c>
      <c r="E146" s="11" t="s">
        <v>295</v>
      </c>
      <c r="F146" s="12" t="s">
        <v>296</v>
      </c>
      <c r="G146" s="13">
        <f t="shared" si="1"/>
        <v>3685.9089537360005</v>
      </c>
      <c r="H146" s="46">
        <f>SUM( H147:H148)</f>
        <v>1.464732E-2</v>
      </c>
      <c r="I146" s="46">
        <f>SUM( I147:I148)</f>
        <v>3441.6190402560001</v>
      </c>
      <c r="J146" s="46">
        <f>SUM( J147:J148)</f>
        <v>147.63320405999997</v>
      </c>
      <c r="K146" s="46">
        <f>SUM( K147:K148)</f>
        <v>96.64206209999999</v>
      </c>
      <c r="L146" s="62"/>
      <c r="M146" s="49"/>
      <c r="N146" s="98"/>
      <c r="P146" s="67">
        <v>900</v>
      </c>
    </row>
    <row r="147" spans="3:19" ht="12.75" x14ac:dyDescent="0.2">
      <c r="C147" s="5"/>
      <c r="D147" s="39" t="s">
        <v>297</v>
      </c>
      <c r="E147" s="14" t="s">
        <v>173</v>
      </c>
      <c r="F147" s="12" t="s">
        <v>298</v>
      </c>
      <c r="G147" s="13">
        <f t="shared" si="1"/>
        <v>0</v>
      </c>
      <c r="H147" s="45"/>
      <c r="I147" s="45"/>
      <c r="J147" s="45"/>
      <c r="K147" s="45"/>
      <c r="L147" s="62"/>
      <c r="M147" s="49"/>
      <c r="N147" s="98"/>
      <c r="P147" s="67"/>
    </row>
    <row r="148" spans="3:19" ht="12.75" x14ac:dyDescent="0.2">
      <c r="C148" s="5"/>
      <c r="D148" s="39" t="s">
        <v>299</v>
      </c>
      <c r="E148" s="14" t="s">
        <v>176</v>
      </c>
      <c r="F148" s="12" t="s">
        <v>300</v>
      </c>
      <c r="G148" s="13">
        <f t="shared" si="1"/>
        <v>3685.9089537360005</v>
      </c>
      <c r="H148" s="46">
        <f>H149+H150</f>
        <v>1.464732E-2</v>
      </c>
      <c r="I148" s="46">
        <f>I149+I150</f>
        <v>3441.6190402560001</v>
      </c>
      <c r="J148" s="46">
        <f>J149+J150</f>
        <v>147.63320405999997</v>
      </c>
      <c r="K148" s="46">
        <f>K149+K150</f>
        <v>96.64206209999999</v>
      </c>
      <c r="L148" s="62"/>
      <c r="M148" s="49"/>
      <c r="N148" s="98"/>
      <c r="P148" s="67"/>
    </row>
    <row r="149" spans="3:19" ht="12.75" x14ac:dyDescent="0.2">
      <c r="C149" s="5"/>
      <c r="D149" s="39" t="s">
        <v>301</v>
      </c>
      <c r="E149" s="34" t="s">
        <v>302</v>
      </c>
      <c r="F149" s="12" t="s">
        <v>303</v>
      </c>
      <c r="G149" s="13">
        <f t="shared" si="1"/>
        <v>3018.1360428359999</v>
      </c>
      <c r="H149" s="45"/>
      <c r="I149" s="45">
        <f>I127*56363.61/1000*1.2</f>
        <v>3018.1360428359999</v>
      </c>
      <c r="J149" s="45"/>
      <c r="K149" s="45"/>
      <c r="L149" s="62"/>
      <c r="M149" s="49"/>
      <c r="N149" s="98"/>
      <c r="P149" s="67" t="s">
        <v>333</v>
      </c>
    </row>
    <row r="150" spans="3:19" ht="12.75" x14ac:dyDescent="0.2">
      <c r="C150" s="5"/>
      <c r="D150" s="39" t="s">
        <v>304</v>
      </c>
      <c r="E150" s="34" t="s">
        <v>271</v>
      </c>
      <c r="F150" s="12" t="s">
        <v>305</v>
      </c>
      <c r="G150" s="13">
        <f t="shared" si="1"/>
        <v>667.77291089999994</v>
      </c>
      <c r="H150" s="45">
        <f>H128*88.45/1000*1.2</f>
        <v>1.464732E-2</v>
      </c>
      <c r="I150" s="45">
        <f>I128*88.45/1000*1.2</f>
        <v>423.48299742</v>
      </c>
      <c r="J150" s="45">
        <f>J128*88.45/1000*1.2</f>
        <v>147.63320405999997</v>
      </c>
      <c r="K150" s="45">
        <f>K128*88.45/1000*1.2</f>
        <v>96.64206209999999</v>
      </c>
      <c r="L150" s="62"/>
      <c r="M150" s="49"/>
      <c r="N150" s="98"/>
      <c r="P150" s="67" t="s">
        <v>334</v>
      </c>
    </row>
    <row r="151" spans="3:19" x14ac:dyDescent="0.25">
      <c r="D151" s="4"/>
      <c r="E151" s="47"/>
      <c r="F151" s="47"/>
      <c r="G151" s="47"/>
      <c r="H151" s="47"/>
      <c r="I151" s="47"/>
      <c r="J151" s="47"/>
      <c r="K151" s="48"/>
      <c r="L151" s="48"/>
      <c r="M151" s="48"/>
      <c r="N151" s="48"/>
      <c r="O151" s="48"/>
      <c r="P151" s="48"/>
      <c r="Q151" s="48"/>
      <c r="R151" s="63"/>
      <c r="S151" s="63"/>
    </row>
    <row r="152" spans="3:19" ht="12.75" x14ac:dyDescent="0.2">
      <c r="E152" s="49" t="s">
        <v>306</v>
      </c>
      <c r="F152" s="108" t="str">
        <f>IF([9]Титульный!G45="","",[9]Титульный!G45)</f>
        <v>экономист</v>
      </c>
      <c r="G152" s="108"/>
      <c r="H152" s="50"/>
      <c r="I152" s="108" t="str">
        <f>IF([9]Титульный!G44="","",[9]Титульный!G44)</f>
        <v>Кривнева Е. В.</v>
      </c>
      <c r="J152" s="108"/>
      <c r="K152" s="108"/>
      <c r="L152" s="50"/>
      <c r="M152" s="72"/>
      <c r="N152" s="72"/>
      <c r="O152" s="52"/>
      <c r="P152" s="48"/>
      <c r="Q152" s="48"/>
      <c r="R152" s="63"/>
      <c r="S152" s="63"/>
    </row>
    <row r="153" spans="3:19" ht="12.75" x14ac:dyDescent="0.2">
      <c r="E153" s="51" t="s">
        <v>307</v>
      </c>
      <c r="F153" s="109" t="s">
        <v>308</v>
      </c>
      <c r="G153" s="109"/>
      <c r="H153" s="52"/>
      <c r="I153" s="109" t="s">
        <v>309</v>
      </c>
      <c r="J153" s="109"/>
      <c r="K153" s="109"/>
      <c r="L153" s="52"/>
      <c r="M153" s="109" t="s">
        <v>335</v>
      </c>
      <c r="N153" s="109"/>
      <c r="O153" s="49"/>
      <c r="P153" s="48"/>
      <c r="Q153" s="48"/>
      <c r="R153" s="63"/>
      <c r="S153" s="63"/>
    </row>
    <row r="154" spans="3:19" ht="12.75" x14ac:dyDescent="0.2">
      <c r="E154" s="51" t="s">
        <v>310</v>
      </c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8"/>
      <c r="Q154" s="48"/>
      <c r="R154" s="63"/>
      <c r="S154" s="63"/>
    </row>
    <row r="155" spans="3:19" ht="12.75" x14ac:dyDescent="0.2">
      <c r="E155" s="51" t="s">
        <v>311</v>
      </c>
      <c r="F155" s="108" t="str">
        <f>IF([9]Титульный!G46="","",[9]Титульный!G46)</f>
        <v>(861) 258-50-71</v>
      </c>
      <c r="G155" s="108"/>
      <c r="H155" s="108"/>
      <c r="I155" s="49"/>
      <c r="J155" s="51" t="s">
        <v>312</v>
      </c>
      <c r="K155" s="95"/>
      <c r="L155" s="49"/>
      <c r="M155" s="49"/>
      <c r="N155" s="49"/>
      <c r="O155" s="49"/>
      <c r="P155" s="48"/>
      <c r="Q155" s="48"/>
      <c r="R155" s="63"/>
      <c r="S155" s="63"/>
    </row>
    <row r="156" spans="3:19" ht="12.75" x14ac:dyDescent="0.2">
      <c r="E156" s="49" t="s">
        <v>313</v>
      </c>
      <c r="F156" s="110" t="s">
        <v>314</v>
      </c>
      <c r="G156" s="110"/>
      <c r="H156" s="110"/>
      <c r="I156" s="49"/>
      <c r="J156" s="53" t="s">
        <v>315</v>
      </c>
      <c r="K156" s="53"/>
      <c r="L156" s="49"/>
      <c r="M156" s="49"/>
      <c r="N156" s="49"/>
      <c r="O156" s="49"/>
      <c r="P156" s="48"/>
      <c r="Q156" s="48"/>
      <c r="R156" s="63"/>
      <c r="S156" s="63"/>
    </row>
    <row r="157" spans="3:19" x14ac:dyDescent="0.25"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63"/>
      <c r="S157" s="63"/>
    </row>
    <row r="158" spans="3:19" x14ac:dyDescent="0.25"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63"/>
      <c r="S158" s="63"/>
    </row>
    <row r="159" spans="3:19" x14ac:dyDescent="0.25"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63"/>
      <c r="S159" s="63"/>
    </row>
    <row r="160" spans="3:19" x14ac:dyDescent="0.25"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63"/>
      <c r="S160" s="63"/>
    </row>
    <row r="161" spans="5:19" x14ac:dyDescent="0.25"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63"/>
      <c r="S161" s="63"/>
    </row>
    <row r="162" spans="5:19" x14ac:dyDescent="0.25"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63"/>
      <c r="S162" s="63"/>
    </row>
    <row r="163" spans="5:19" x14ac:dyDescent="0.25"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63"/>
      <c r="S163" s="63"/>
    </row>
    <row r="164" spans="5:19" x14ac:dyDescent="0.25"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63"/>
      <c r="S164" s="63"/>
    </row>
    <row r="165" spans="5:19" x14ac:dyDescent="0.25"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63"/>
      <c r="S165" s="63"/>
    </row>
    <row r="166" spans="5:19" x14ac:dyDescent="0.25"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63"/>
      <c r="S166" s="63"/>
    </row>
    <row r="167" spans="5:19" x14ac:dyDescent="0.25"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63"/>
      <c r="S167" s="63"/>
    </row>
    <row r="168" spans="5:19" x14ac:dyDescent="0.25"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63"/>
      <c r="S168" s="63"/>
    </row>
    <row r="169" spans="5:19" x14ac:dyDescent="0.25"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63"/>
      <c r="S169" s="63"/>
    </row>
    <row r="170" spans="5:19" x14ac:dyDescent="0.25"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63"/>
      <c r="S170" s="63"/>
    </row>
    <row r="171" spans="5:19" x14ac:dyDescent="0.25"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63"/>
      <c r="S171" s="63"/>
    </row>
    <row r="172" spans="5:19" x14ac:dyDescent="0.25"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63"/>
      <c r="S172" s="63"/>
    </row>
    <row r="173" spans="5:19" x14ac:dyDescent="0.25"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63"/>
      <c r="S173" s="63"/>
    </row>
    <row r="174" spans="5:19" x14ac:dyDescent="0.25"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63"/>
      <c r="S174" s="63"/>
    </row>
    <row r="175" spans="5:19" x14ac:dyDescent="0.25"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63"/>
      <c r="S175" s="63"/>
    </row>
    <row r="176" spans="5:19" x14ac:dyDescent="0.25"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63"/>
      <c r="S176" s="63"/>
    </row>
    <row r="177" spans="5:19" x14ac:dyDescent="0.25"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63"/>
      <c r="S177" s="63"/>
    </row>
    <row r="178" spans="5:19" x14ac:dyDescent="0.25"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63"/>
      <c r="S178" s="63"/>
    </row>
    <row r="179" spans="5:19" x14ac:dyDescent="0.25"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63"/>
      <c r="S179" s="63"/>
    </row>
    <row r="180" spans="5:19" x14ac:dyDescent="0.25"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63"/>
      <c r="S180" s="63"/>
    </row>
    <row r="181" spans="5:19" x14ac:dyDescent="0.25"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63"/>
      <c r="S181" s="63"/>
    </row>
    <row r="182" spans="5:19" x14ac:dyDescent="0.25"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5:19" x14ac:dyDescent="0.25"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5:19" x14ac:dyDescent="0.25"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5:19" x14ac:dyDescent="0.25"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</sheetData>
  <mergeCells count="18">
    <mergeCell ref="F152:G152"/>
    <mergeCell ref="I152:K152"/>
    <mergeCell ref="D8:E8"/>
    <mergeCell ref="D11:D12"/>
    <mergeCell ref="E11:E12"/>
    <mergeCell ref="F11:F12"/>
    <mergeCell ref="G11:G12"/>
    <mergeCell ref="H11:K11"/>
    <mergeCell ref="D14:K14"/>
    <mergeCell ref="D53:K53"/>
    <mergeCell ref="D92:K92"/>
    <mergeCell ref="D96:K96"/>
    <mergeCell ref="D129:K129"/>
    <mergeCell ref="F153:G153"/>
    <mergeCell ref="I153:K153"/>
    <mergeCell ref="M153:N153"/>
    <mergeCell ref="F155:H155"/>
    <mergeCell ref="F156:H156"/>
  </mergeCells>
  <dataValidations count="2">
    <dataValidation allowBlank="1" showInputMessage="1" promptTitle="Ввод" prompt="Для выбора организации необходимо два раза нажать левую клавишу мыши!" sqref="E42 E25:E26 E81 E64:E65"/>
    <dataValidation type="decimal" allowBlank="1" showErrorMessage="1" errorTitle="Ошибка" error="Допускается ввод только действительных чисел!" sqref="G62:K65 G93:K95 G67:K81 G15:K18 G83:K91 G97:K128 G23:K26 G44:K52 G28:K42 G130:K150 G59:K60 G20:K21 G54:K57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85"/>
  <sheetViews>
    <sheetView topLeftCell="C7" workbookViewId="0">
      <selection activeCell="H21" sqref="H21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 x14ac:dyDescent="0.25">
      <c r="S1" s="54"/>
      <c r="T1" s="54"/>
      <c r="U1" s="54"/>
      <c r="V1" s="54"/>
      <c r="Y1" s="54"/>
      <c r="AA1" s="54"/>
      <c r="AN1" s="54"/>
      <c r="AO1" s="54"/>
      <c r="AP1" s="54"/>
      <c r="BC1" s="54"/>
      <c r="BF1" s="54"/>
      <c r="BG1" s="54"/>
      <c r="BI1" s="54"/>
      <c r="BM1" s="54"/>
      <c r="BO1" s="54"/>
      <c r="BX1" s="54"/>
      <c r="BY1" s="54"/>
      <c r="CC1" s="54"/>
    </row>
    <row r="2" spans="1:81" hidden="1" x14ac:dyDescent="0.25"/>
    <row r="3" spans="1:81" hidden="1" x14ac:dyDescent="0.25"/>
    <row r="4" spans="1:81" hidden="1" x14ac:dyDescent="0.25">
      <c r="A4" s="55"/>
      <c r="F4" s="56"/>
      <c r="G4" s="56"/>
      <c r="H4" s="56"/>
      <c r="I4" s="56"/>
      <c r="J4" s="56"/>
      <c r="K4" s="56"/>
      <c r="M4" s="56"/>
      <c r="N4" s="56"/>
      <c r="O4" s="56"/>
      <c r="P4" s="56"/>
      <c r="Q4" s="56"/>
    </row>
    <row r="5" spans="1:81" hidden="1" x14ac:dyDescent="0.25">
      <c r="A5" s="57"/>
      <c r="F5" s="1" t="s">
        <v>316</v>
      </c>
      <c r="G5" s="1" t="s">
        <v>317</v>
      </c>
      <c r="H5" s="1" t="s">
        <v>318</v>
      </c>
      <c r="I5" s="1" t="s">
        <v>319</v>
      </c>
      <c r="J5" s="1" t="s">
        <v>320</v>
      </c>
      <c r="K5" s="1" t="s">
        <v>321</v>
      </c>
      <c r="L5" s="1" t="s">
        <v>322</v>
      </c>
      <c r="M5" s="1" t="s">
        <v>323</v>
      </c>
      <c r="N5" s="1" t="s">
        <v>323</v>
      </c>
      <c r="O5" s="1" t="s">
        <v>324</v>
      </c>
      <c r="P5" s="1" t="s">
        <v>325</v>
      </c>
      <c r="Q5" s="1" t="s">
        <v>326</v>
      </c>
    </row>
    <row r="6" spans="1:81" hidden="1" x14ac:dyDescent="0.25">
      <c r="A6" s="57"/>
    </row>
    <row r="7" spans="1:81" ht="12" customHeight="1" x14ac:dyDescent="0.25">
      <c r="A7" s="57"/>
      <c r="D7" s="5"/>
      <c r="E7" s="5"/>
      <c r="F7" s="5"/>
      <c r="G7" s="5"/>
      <c r="H7" s="5"/>
      <c r="I7" s="5"/>
      <c r="J7" s="5"/>
      <c r="K7" s="58"/>
      <c r="Q7" s="66"/>
    </row>
    <row r="8" spans="1:81" ht="22.5" customHeight="1" x14ac:dyDescent="0.25">
      <c r="A8" s="57"/>
      <c r="D8" s="104" t="s">
        <v>0</v>
      </c>
      <c r="E8" s="10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81" x14ac:dyDescent="0.25">
      <c r="A9" s="57"/>
      <c r="D9" s="3" t="s">
        <v>351</v>
      </c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81" ht="12" customHeight="1" x14ac:dyDescent="0.25">
      <c r="D10" s="4"/>
      <c r="E10" s="4"/>
      <c r="F10" s="5"/>
      <c r="G10" s="5"/>
      <c r="H10" s="5"/>
      <c r="I10" s="5"/>
      <c r="K10" s="6" t="s">
        <v>1</v>
      </c>
    </row>
    <row r="11" spans="1:81" ht="15" customHeight="1" x14ac:dyDescent="0.25">
      <c r="C11" s="5"/>
      <c r="D11" s="105" t="s">
        <v>2</v>
      </c>
      <c r="E11" s="102" t="s">
        <v>3</v>
      </c>
      <c r="F11" s="102" t="s">
        <v>4</v>
      </c>
      <c r="G11" s="102" t="s">
        <v>5</v>
      </c>
      <c r="H11" s="102" t="s">
        <v>6</v>
      </c>
      <c r="I11" s="102"/>
      <c r="J11" s="102"/>
      <c r="K11" s="103"/>
      <c r="L11" s="59"/>
    </row>
    <row r="12" spans="1:81" ht="15" customHeight="1" x14ac:dyDescent="0.25">
      <c r="C12" s="5"/>
      <c r="D12" s="106"/>
      <c r="E12" s="107"/>
      <c r="F12" s="107"/>
      <c r="G12" s="107"/>
      <c r="H12" s="97" t="s">
        <v>7</v>
      </c>
      <c r="I12" s="97" t="s">
        <v>8</v>
      </c>
      <c r="J12" s="97" t="s">
        <v>9</v>
      </c>
      <c r="K12" s="7" t="s">
        <v>10</v>
      </c>
      <c r="L12" s="59"/>
    </row>
    <row r="13" spans="1:81" ht="12" customHeight="1" x14ac:dyDescent="0.25">
      <c r="D13" s="8">
        <v>0</v>
      </c>
      <c r="E13" s="8">
        <v>1</v>
      </c>
      <c r="F13" s="8">
        <v>2</v>
      </c>
      <c r="G13" s="8">
        <v>3</v>
      </c>
      <c r="H13" s="8">
        <v>4</v>
      </c>
      <c r="I13" s="8">
        <v>5</v>
      </c>
      <c r="J13" s="8">
        <v>6</v>
      </c>
      <c r="K13" s="8">
        <v>7</v>
      </c>
    </row>
    <row r="14" spans="1:81" s="60" customFormat="1" ht="15" customHeight="1" x14ac:dyDescent="0.25">
      <c r="C14" s="9"/>
      <c r="D14" s="99" t="s">
        <v>11</v>
      </c>
      <c r="E14" s="100"/>
      <c r="F14" s="100"/>
      <c r="G14" s="100"/>
      <c r="H14" s="100"/>
      <c r="I14" s="100"/>
      <c r="J14" s="100"/>
      <c r="K14" s="101"/>
      <c r="L14" s="61"/>
    </row>
    <row r="15" spans="1:81" s="60" customFormat="1" ht="15" customHeight="1" x14ac:dyDescent="0.2">
      <c r="C15" s="9"/>
      <c r="D15" s="10" t="s">
        <v>12</v>
      </c>
      <c r="E15" s="11" t="s">
        <v>13</v>
      </c>
      <c r="F15" s="12">
        <v>10</v>
      </c>
      <c r="G15" s="13">
        <f>SUM(H15:K15)</f>
        <v>7098.7780000000002</v>
      </c>
      <c r="H15" s="13">
        <f>H16+H17+H20+H23</f>
        <v>952.83399999999995</v>
      </c>
      <c r="I15" s="13">
        <f>I16+I17+I20+I23</f>
        <v>5439.9830000000002</v>
      </c>
      <c r="J15" s="13">
        <f>J16+J17+J20+J23</f>
        <v>705.96100000000001</v>
      </c>
      <c r="K15" s="13">
        <f>K16+K17+K20+K23</f>
        <v>0</v>
      </c>
      <c r="L15" s="61"/>
      <c r="M15" s="49"/>
      <c r="P15" s="67">
        <v>10</v>
      </c>
    </row>
    <row r="16" spans="1:81" s="60" customFormat="1" ht="15" customHeight="1" x14ac:dyDescent="0.2">
      <c r="C16" s="9"/>
      <c r="D16" s="10" t="s">
        <v>14</v>
      </c>
      <c r="E16" s="14" t="s">
        <v>15</v>
      </c>
      <c r="F16" s="12">
        <v>20</v>
      </c>
      <c r="G16" s="13">
        <f t="shared" ref="G16:G136" si="0">SUM(H16:K16)</f>
        <v>0</v>
      </c>
      <c r="H16" s="15"/>
      <c r="I16" s="15"/>
      <c r="J16" s="15"/>
      <c r="K16" s="15"/>
      <c r="L16" s="61"/>
      <c r="M16" s="49"/>
      <c r="P16" s="67">
        <v>20</v>
      </c>
    </row>
    <row r="17" spans="3:16" s="60" customFormat="1" ht="12.75" x14ac:dyDescent="0.2">
      <c r="C17" s="9"/>
      <c r="D17" s="10" t="s">
        <v>16</v>
      </c>
      <c r="E17" s="14" t="s">
        <v>17</v>
      </c>
      <c r="F17" s="12">
        <v>30</v>
      </c>
      <c r="G17" s="13">
        <f t="shared" si="0"/>
        <v>0</v>
      </c>
      <c r="H17" s="13">
        <f>SUM(H18:H19)</f>
        <v>0</v>
      </c>
      <c r="I17" s="13">
        <f>SUM(I18:I19)</f>
        <v>0</v>
      </c>
      <c r="J17" s="13">
        <f>SUM(J18:J19)</f>
        <v>0</v>
      </c>
      <c r="K17" s="13">
        <f>SUM(K18:K19)</f>
        <v>0</v>
      </c>
      <c r="L17" s="61"/>
      <c r="M17" s="49"/>
      <c r="P17" s="67">
        <v>30</v>
      </c>
    </row>
    <row r="18" spans="3:16" s="60" customFormat="1" ht="12.75" x14ac:dyDescent="0.2">
      <c r="C18" s="9"/>
      <c r="D18" s="16" t="s">
        <v>18</v>
      </c>
      <c r="E18" s="17"/>
      <c r="F18" s="18" t="s">
        <v>19</v>
      </c>
      <c r="G18" s="19"/>
      <c r="H18" s="19"/>
      <c r="I18" s="19"/>
      <c r="J18" s="19"/>
      <c r="K18" s="19"/>
      <c r="L18" s="61"/>
      <c r="M18" s="49"/>
      <c r="P18" s="67"/>
    </row>
    <row r="19" spans="3:16" s="60" customFormat="1" ht="12.75" x14ac:dyDescent="0.2">
      <c r="C19" s="9"/>
      <c r="D19" s="20"/>
      <c r="E19" s="21" t="s">
        <v>20</v>
      </c>
      <c r="F19" s="22"/>
      <c r="G19" s="22"/>
      <c r="H19" s="22"/>
      <c r="I19" s="22"/>
      <c r="J19" s="22"/>
      <c r="K19" s="23"/>
      <c r="L19" s="61"/>
      <c r="M19" s="49"/>
      <c r="P19" s="68"/>
    </row>
    <row r="20" spans="3:16" s="60" customFormat="1" ht="12.75" x14ac:dyDescent="0.2">
      <c r="C20" s="9"/>
      <c r="D20" s="10" t="s">
        <v>21</v>
      </c>
      <c r="E20" s="14" t="s">
        <v>22</v>
      </c>
      <c r="F20" s="12" t="s">
        <v>23</v>
      </c>
      <c r="G20" s="13">
        <f t="shared" si="0"/>
        <v>0</v>
      </c>
      <c r="H20" s="13">
        <f>SUM(H21:H22)</f>
        <v>0</v>
      </c>
      <c r="I20" s="13">
        <f>SUM(I21:I22)</f>
        <v>0</v>
      </c>
      <c r="J20" s="13">
        <f>SUM(J21:J22)</f>
        <v>0</v>
      </c>
      <c r="K20" s="13">
        <f>SUM(K21:K22)</f>
        <v>0</v>
      </c>
      <c r="L20" s="61"/>
      <c r="M20" s="49"/>
      <c r="P20" s="68"/>
    </row>
    <row r="21" spans="3:16" s="60" customFormat="1" ht="12.75" x14ac:dyDescent="0.2">
      <c r="C21" s="9"/>
      <c r="D21" s="16" t="s">
        <v>24</v>
      </c>
      <c r="E21" s="17"/>
      <c r="F21" s="18" t="s">
        <v>23</v>
      </c>
      <c r="G21" s="19"/>
      <c r="H21" s="19"/>
      <c r="I21" s="19"/>
      <c r="J21" s="19"/>
      <c r="K21" s="19"/>
      <c r="L21" s="61"/>
      <c r="M21" s="49"/>
      <c r="P21" s="67"/>
    </row>
    <row r="22" spans="3:16" s="60" customFormat="1" ht="12.75" x14ac:dyDescent="0.2">
      <c r="C22" s="9"/>
      <c r="D22" s="20"/>
      <c r="E22" s="21" t="s">
        <v>20</v>
      </c>
      <c r="F22" s="22"/>
      <c r="G22" s="22"/>
      <c r="H22" s="22"/>
      <c r="I22" s="22"/>
      <c r="J22" s="22"/>
      <c r="K22" s="23"/>
      <c r="L22" s="61"/>
      <c r="M22" s="49"/>
      <c r="P22" s="68"/>
    </row>
    <row r="23" spans="3:16" s="60" customFormat="1" ht="12.75" x14ac:dyDescent="0.2">
      <c r="C23" s="9"/>
      <c r="D23" s="10" t="s">
        <v>25</v>
      </c>
      <c r="E23" s="14" t="s">
        <v>26</v>
      </c>
      <c r="F23" s="12" t="s">
        <v>27</v>
      </c>
      <c r="G23" s="13">
        <f t="shared" si="0"/>
        <v>7098.7780000000002</v>
      </c>
      <c r="H23" s="13">
        <f>SUM(H24:H27)</f>
        <v>952.83399999999995</v>
      </c>
      <c r="I23" s="13">
        <f>SUM(I24:I27)</f>
        <v>5439.9830000000002</v>
      </c>
      <c r="J23" s="13">
        <f>SUM(J24:J27)</f>
        <v>705.96100000000001</v>
      </c>
      <c r="K23" s="13">
        <f>SUM(K24:K27)</f>
        <v>0</v>
      </c>
      <c r="L23" s="61"/>
      <c r="M23" s="49"/>
      <c r="P23" s="67">
        <v>40</v>
      </c>
    </row>
    <row r="24" spans="3:16" s="60" customFormat="1" ht="12.75" x14ac:dyDescent="0.2">
      <c r="C24" s="9"/>
      <c r="D24" s="16" t="s">
        <v>28</v>
      </c>
      <c r="E24" s="17"/>
      <c r="F24" s="18" t="s">
        <v>27</v>
      </c>
      <c r="G24" s="19"/>
      <c r="H24" s="19"/>
      <c r="I24" s="19"/>
      <c r="J24" s="19"/>
      <c r="K24" s="19"/>
      <c r="L24" s="61"/>
      <c r="M24" s="49"/>
      <c r="P24" s="67"/>
    </row>
    <row r="25" spans="3:16" s="60" customFormat="1" ht="15" x14ac:dyDescent="0.25">
      <c r="C25" s="24" t="s">
        <v>29</v>
      </c>
      <c r="D25" s="25" t="s">
        <v>30</v>
      </c>
      <c r="E25" s="26" t="s">
        <v>344</v>
      </c>
      <c r="F25" s="27">
        <v>431</v>
      </c>
      <c r="G25" s="28">
        <f>SUM(H25:K25)</f>
        <v>6803.3739999999998</v>
      </c>
      <c r="H25" s="29">
        <v>952.83399999999995</v>
      </c>
      <c r="I25" s="29">
        <v>5439.9830000000002</v>
      </c>
      <c r="J25" s="29">
        <v>410.55700000000002</v>
      </c>
      <c r="K25" s="30"/>
      <c r="L25" s="61"/>
      <c r="M25" s="69" t="s">
        <v>327</v>
      </c>
      <c r="N25" s="70" t="s">
        <v>328</v>
      </c>
      <c r="O25" s="70" t="s">
        <v>329</v>
      </c>
    </row>
    <row r="26" spans="3:16" s="60" customFormat="1" ht="15" x14ac:dyDescent="0.25">
      <c r="C26" s="24" t="s">
        <v>29</v>
      </c>
      <c r="D26" s="25" t="s">
        <v>342</v>
      </c>
      <c r="E26" s="26" t="s">
        <v>68</v>
      </c>
      <c r="F26" s="27">
        <v>432</v>
      </c>
      <c r="G26" s="28">
        <f>SUM(H26:K26)</f>
        <v>295.404</v>
      </c>
      <c r="H26" s="29"/>
      <c r="I26" s="29"/>
      <c r="J26" s="29">
        <v>295.404</v>
      </c>
      <c r="K26" s="30"/>
      <c r="L26" s="61"/>
      <c r="M26" s="69" t="s">
        <v>330</v>
      </c>
      <c r="N26" s="70" t="s">
        <v>328</v>
      </c>
      <c r="O26" s="70" t="s">
        <v>332</v>
      </c>
    </row>
    <row r="27" spans="3:16" s="60" customFormat="1" ht="12.75" x14ac:dyDescent="0.2">
      <c r="C27" s="9"/>
      <c r="D27" s="20"/>
      <c r="E27" s="21" t="s">
        <v>20</v>
      </c>
      <c r="F27" s="22"/>
      <c r="G27" s="22"/>
      <c r="H27" s="22"/>
      <c r="I27" s="22"/>
      <c r="J27" s="22"/>
      <c r="K27" s="23"/>
      <c r="L27" s="61"/>
      <c r="M27" s="49"/>
      <c r="P27" s="67"/>
    </row>
    <row r="28" spans="3:16" s="60" customFormat="1" ht="12.75" x14ac:dyDescent="0.2">
      <c r="C28" s="9"/>
      <c r="D28" s="10" t="s">
        <v>31</v>
      </c>
      <c r="E28" s="11" t="s">
        <v>32</v>
      </c>
      <c r="F28" s="12" t="s">
        <v>33</v>
      </c>
      <c r="G28" s="13">
        <f t="shared" si="0"/>
        <v>3004.8210000000004</v>
      </c>
      <c r="H28" s="13">
        <f>H30+H31+H32</f>
        <v>0</v>
      </c>
      <c r="I28" s="13">
        <f>I29+I31+I32</f>
        <v>0</v>
      </c>
      <c r="J28" s="13">
        <f>J29+J30+J32</f>
        <v>1926.7820000000002</v>
      </c>
      <c r="K28" s="13">
        <f>K29+K30+K31</f>
        <v>1078.0390000000002</v>
      </c>
      <c r="L28" s="61"/>
      <c r="M28" s="49"/>
      <c r="P28" s="67">
        <v>50</v>
      </c>
    </row>
    <row r="29" spans="3:16" s="60" customFormat="1" ht="12.75" x14ac:dyDescent="0.2">
      <c r="C29" s="9"/>
      <c r="D29" s="10" t="s">
        <v>34</v>
      </c>
      <c r="E29" s="14" t="s">
        <v>7</v>
      </c>
      <c r="F29" s="12" t="s">
        <v>35</v>
      </c>
      <c r="G29" s="13">
        <f t="shared" si="0"/>
        <v>952.78</v>
      </c>
      <c r="H29" s="31"/>
      <c r="I29" s="15"/>
      <c r="J29" s="15">
        <f>H45</f>
        <v>952.78</v>
      </c>
      <c r="K29" s="15"/>
      <c r="L29" s="61"/>
      <c r="M29" s="49"/>
      <c r="P29" s="67">
        <v>60</v>
      </c>
    </row>
    <row r="30" spans="3:16" s="60" customFormat="1" ht="12.75" x14ac:dyDescent="0.2">
      <c r="C30" s="9"/>
      <c r="D30" s="10" t="s">
        <v>36</v>
      </c>
      <c r="E30" s="14" t="s">
        <v>8</v>
      </c>
      <c r="F30" s="12" t="s">
        <v>37</v>
      </c>
      <c r="G30" s="13">
        <f t="shared" si="0"/>
        <v>974.00200000000007</v>
      </c>
      <c r="H30" s="15"/>
      <c r="I30" s="31"/>
      <c r="J30" s="15">
        <f>I25-I34-I48</f>
        <v>974.00200000000007</v>
      </c>
      <c r="K30" s="15"/>
      <c r="L30" s="61"/>
      <c r="M30" s="49"/>
      <c r="P30" s="67">
        <v>70</v>
      </c>
    </row>
    <row r="31" spans="3:16" s="60" customFormat="1" ht="12.75" x14ac:dyDescent="0.2">
      <c r="C31" s="9"/>
      <c r="D31" s="10" t="s">
        <v>38</v>
      </c>
      <c r="E31" s="14" t="s">
        <v>9</v>
      </c>
      <c r="F31" s="12" t="s">
        <v>39</v>
      </c>
      <c r="G31" s="13">
        <f t="shared" si="0"/>
        <v>1078.0390000000002</v>
      </c>
      <c r="H31" s="15"/>
      <c r="I31" s="15"/>
      <c r="J31" s="31"/>
      <c r="K31" s="15">
        <f>J23+J28+J17-J48-J34</f>
        <v>1078.0390000000002</v>
      </c>
      <c r="L31" s="61"/>
      <c r="M31" s="49"/>
      <c r="P31" s="67">
        <v>80</v>
      </c>
    </row>
    <row r="32" spans="3:16" s="60" customFormat="1" ht="12.75" x14ac:dyDescent="0.2">
      <c r="C32" s="9"/>
      <c r="D32" s="10" t="s">
        <v>40</v>
      </c>
      <c r="E32" s="14" t="s">
        <v>41</v>
      </c>
      <c r="F32" s="12" t="s">
        <v>42</v>
      </c>
      <c r="G32" s="13">
        <f t="shared" si="0"/>
        <v>0</v>
      </c>
      <c r="H32" s="15"/>
      <c r="I32" s="15"/>
      <c r="J32" s="15"/>
      <c r="K32" s="31"/>
      <c r="L32" s="61"/>
      <c r="M32" s="49"/>
      <c r="P32" s="67">
        <v>90</v>
      </c>
    </row>
    <row r="33" spans="3:16" s="60" customFormat="1" ht="12.75" x14ac:dyDescent="0.2">
      <c r="C33" s="9"/>
      <c r="D33" s="10" t="s">
        <v>43</v>
      </c>
      <c r="E33" s="32" t="s">
        <v>44</v>
      </c>
      <c r="F33" s="12" t="s">
        <v>45</v>
      </c>
      <c r="G33" s="13">
        <f t="shared" si="0"/>
        <v>0</v>
      </c>
      <c r="H33" s="15"/>
      <c r="I33" s="15"/>
      <c r="J33" s="15"/>
      <c r="K33" s="15"/>
      <c r="L33" s="61"/>
      <c r="M33" s="49"/>
      <c r="P33" s="67"/>
    </row>
    <row r="34" spans="3:16" s="60" customFormat="1" ht="12.75" x14ac:dyDescent="0.2">
      <c r="C34" s="9"/>
      <c r="D34" s="10" t="s">
        <v>46</v>
      </c>
      <c r="E34" s="11" t="s">
        <v>47</v>
      </c>
      <c r="F34" s="33" t="s">
        <v>48</v>
      </c>
      <c r="G34" s="13">
        <f t="shared" si="0"/>
        <v>6894.3640000000005</v>
      </c>
      <c r="H34" s="13">
        <f>H35+H37+H40+H44</f>
        <v>0</v>
      </c>
      <c r="I34" s="13">
        <f>I35+I37+I40+I44</f>
        <v>4447.6570000000002</v>
      </c>
      <c r="J34" s="13">
        <f>J35+J37+J40+J44</f>
        <v>1552.607</v>
      </c>
      <c r="K34" s="13">
        <f>K35+K37+K40+K44</f>
        <v>894.1</v>
      </c>
      <c r="L34" s="61"/>
      <c r="M34" s="49"/>
      <c r="P34" s="67">
        <v>100</v>
      </c>
    </row>
    <row r="35" spans="3:16" s="60" customFormat="1" ht="22.5" x14ac:dyDescent="0.2">
      <c r="C35" s="9"/>
      <c r="D35" s="10" t="s">
        <v>49</v>
      </c>
      <c r="E35" s="14" t="s">
        <v>50</v>
      </c>
      <c r="F35" s="12" t="s">
        <v>51</v>
      </c>
      <c r="G35" s="13">
        <f t="shared" si="0"/>
        <v>0</v>
      </c>
      <c r="H35" s="15"/>
      <c r="I35" s="15"/>
      <c r="J35" s="15"/>
      <c r="K35" s="15"/>
      <c r="L35" s="61"/>
      <c r="M35" s="49"/>
      <c r="P35" s="67"/>
    </row>
    <row r="36" spans="3:16" s="60" customFormat="1" ht="12.75" x14ac:dyDescent="0.2">
      <c r="C36" s="9"/>
      <c r="D36" s="10" t="s">
        <v>52</v>
      </c>
      <c r="E36" s="34" t="s">
        <v>53</v>
      </c>
      <c r="F36" s="12" t="s">
        <v>54</v>
      </c>
      <c r="G36" s="13">
        <f t="shared" si="0"/>
        <v>0</v>
      </c>
      <c r="H36" s="15"/>
      <c r="I36" s="15"/>
      <c r="J36" s="15"/>
      <c r="K36" s="15"/>
      <c r="L36" s="61"/>
      <c r="M36" s="49"/>
      <c r="P36" s="67"/>
    </row>
    <row r="37" spans="3:16" s="60" customFormat="1" ht="12.75" x14ac:dyDescent="0.2">
      <c r="C37" s="9"/>
      <c r="D37" s="10" t="s">
        <v>55</v>
      </c>
      <c r="E37" s="14" t="s">
        <v>56</v>
      </c>
      <c r="F37" s="12" t="s">
        <v>57</v>
      </c>
      <c r="G37" s="13">
        <f t="shared" si="0"/>
        <v>3185.3870000000002</v>
      </c>
      <c r="H37" s="15">
        <v>0</v>
      </c>
      <c r="I37" s="15">
        <f>4447.657-I42</f>
        <v>738.68000000000029</v>
      </c>
      <c r="J37" s="15">
        <v>1552.607</v>
      </c>
      <c r="K37" s="15">
        <v>894.1</v>
      </c>
      <c r="L37" s="61"/>
      <c r="M37" s="49"/>
      <c r="P37" s="67"/>
    </row>
    <row r="38" spans="3:16" s="60" customFormat="1" ht="12.75" x14ac:dyDescent="0.2">
      <c r="C38" s="9"/>
      <c r="D38" s="10" t="s">
        <v>58</v>
      </c>
      <c r="E38" s="34" t="s">
        <v>59</v>
      </c>
      <c r="F38" s="12" t="s">
        <v>60</v>
      </c>
      <c r="G38" s="13">
        <f t="shared" si="0"/>
        <v>0</v>
      </c>
      <c r="H38" s="15"/>
      <c r="I38" s="15"/>
      <c r="J38" s="15"/>
      <c r="K38" s="15"/>
      <c r="L38" s="61"/>
      <c r="M38" s="49"/>
      <c r="P38" s="67"/>
    </row>
    <row r="39" spans="3:16" s="60" customFormat="1" ht="12.75" x14ac:dyDescent="0.2">
      <c r="C39" s="9"/>
      <c r="D39" s="10" t="s">
        <v>61</v>
      </c>
      <c r="E39" s="35" t="s">
        <v>53</v>
      </c>
      <c r="F39" s="12" t="s">
        <v>62</v>
      </c>
      <c r="G39" s="13">
        <f t="shared" si="0"/>
        <v>0</v>
      </c>
      <c r="H39" s="15"/>
      <c r="I39" s="15"/>
      <c r="J39" s="15"/>
      <c r="K39" s="15"/>
      <c r="L39" s="61"/>
      <c r="M39" s="49"/>
      <c r="P39" s="67"/>
    </row>
    <row r="40" spans="3:16" s="60" customFormat="1" ht="12.75" x14ac:dyDescent="0.2">
      <c r="C40" s="9"/>
      <c r="D40" s="10" t="s">
        <v>63</v>
      </c>
      <c r="E40" s="14" t="s">
        <v>64</v>
      </c>
      <c r="F40" s="12" t="s">
        <v>65</v>
      </c>
      <c r="G40" s="13">
        <f t="shared" si="0"/>
        <v>3708.9769999999999</v>
      </c>
      <c r="H40" s="13">
        <f>SUM(H41:H43)</f>
        <v>0</v>
      </c>
      <c r="I40" s="13">
        <f>SUM(I41:I43)</f>
        <v>3708.9769999999999</v>
      </c>
      <c r="J40" s="13">
        <f>SUM(J41:J43)</f>
        <v>0</v>
      </c>
      <c r="K40" s="13">
        <f>SUM(K41:K43)</f>
        <v>0</v>
      </c>
      <c r="L40" s="61"/>
      <c r="M40" s="49"/>
      <c r="P40" s="67"/>
    </row>
    <row r="41" spans="3:16" s="60" customFormat="1" ht="12.75" x14ac:dyDescent="0.2">
      <c r="C41" s="9"/>
      <c r="D41" s="16" t="s">
        <v>66</v>
      </c>
      <c r="E41" s="17"/>
      <c r="F41" s="18" t="s">
        <v>65</v>
      </c>
      <c r="G41" s="19"/>
      <c r="H41" s="19"/>
      <c r="I41" s="19"/>
      <c r="J41" s="19"/>
      <c r="K41" s="19"/>
      <c r="L41" s="61"/>
      <c r="M41" s="49"/>
      <c r="P41" s="67"/>
    </row>
    <row r="42" spans="3:16" s="60" customFormat="1" ht="15" x14ac:dyDescent="0.25">
      <c r="C42" s="24" t="s">
        <v>29</v>
      </c>
      <c r="D42" s="25" t="s">
        <v>67</v>
      </c>
      <c r="E42" s="26" t="s">
        <v>68</v>
      </c>
      <c r="F42" s="27">
        <v>751</v>
      </c>
      <c r="G42" s="28">
        <f>SUM(H42:K42)</f>
        <v>3708.9769999999999</v>
      </c>
      <c r="H42" s="29"/>
      <c r="I42" s="29">
        <v>3708.9769999999999</v>
      </c>
      <c r="J42" s="29"/>
      <c r="K42" s="30"/>
      <c r="L42" s="61"/>
      <c r="M42" s="69" t="s">
        <v>330</v>
      </c>
      <c r="N42" s="70" t="s">
        <v>331</v>
      </c>
      <c r="O42" s="70" t="s">
        <v>332</v>
      </c>
    </row>
    <row r="43" spans="3:16" s="60" customFormat="1" ht="12.75" x14ac:dyDescent="0.2">
      <c r="C43" s="9"/>
      <c r="D43" s="36"/>
      <c r="E43" s="21" t="s">
        <v>20</v>
      </c>
      <c r="F43" s="22"/>
      <c r="G43" s="22"/>
      <c r="H43" s="22"/>
      <c r="I43" s="22"/>
      <c r="J43" s="22"/>
      <c r="K43" s="23"/>
      <c r="L43" s="61"/>
      <c r="M43" s="49"/>
      <c r="P43" s="67"/>
    </row>
    <row r="44" spans="3:16" s="60" customFormat="1" ht="12.75" x14ac:dyDescent="0.2">
      <c r="C44" s="9"/>
      <c r="D44" s="10" t="s">
        <v>69</v>
      </c>
      <c r="E44" s="37" t="s">
        <v>70</v>
      </c>
      <c r="F44" s="12" t="s">
        <v>71</v>
      </c>
      <c r="G44" s="13">
        <f t="shared" si="0"/>
        <v>0</v>
      </c>
      <c r="H44" s="15"/>
      <c r="I44" s="15"/>
      <c r="J44" s="15"/>
      <c r="K44" s="15"/>
      <c r="L44" s="61"/>
      <c r="M44" s="49"/>
      <c r="P44" s="67">
        <v>120</v>
      </c>
    </row>
    <row r="45" spans="3:16" s="60" customFormat="1" ht="12.75" x14ac:dyDescent="0.2">
      <c r="C45" s="9"/>
      <c r="D45" s="10" t="s">
        <v>72</v>
      </c>
      <c r="E45" s="11" t="s">
        <v>73</v>
      </c>
      <c r="F45" s="12" t="s">
        <v>74</v>
      </c>
      <c r="G45" s="13">
        <f t="shared" si="0"/>
        <v>3004.8210000000008</v>
      </c>
      <c r="H45" s="15">
        <f>H25-H48-H34</f>
        <v>952.78</v>
      </c>
      <c r="I45" s="15">
        <f>I15-I34-I48</f>
        <v>974.00200000000007</v>
      </c>
      <c r="J45" s="15">
        <f>J23+J28+J17-J34-J48</f>
        <v>1078.0390000000004</v>
      </c>
      <c r="K45" s="15">
        <f>K31-K34-K48</f>
        <v>0</v>
      </c>
      <c r="L45" s="61"/>
      <c r="M45" s="49"/>
      <c r="P45" s="67">
        <v>150</v>
      </c>
    </row>
    <row r="46" spans="3:16" s="60" customFormat="1" ht="12.75" x14ac:dyDescent="0.2">
      <c r="C46" s="9"/>
      <c r="D46" s="10" t="s">
        <v>75</v>
      </c>
      <c r="E46" s="11" t="s">
        <v>76</v>
      </c>
      <c r="F46" s="12" t="s">
        <v>77</v>
      </c>
      <c r="G46" s="13">
        <f t="shared" si="0"/>
        <v>0</v>
      </c>
      <c r="H46" s="15"/>
      <c r="I46" s="15"/>
      <c r="J46" s="15"/>
      <c r="K46" s="15"/>
      <c r="L46" s="61"/>
      <c r="M46" s="49"/>
      <c r="P46" s="67">
        <v>160</v>
      </c>
    </row>
    <row r="47" spans="3:16" s="60" customFormat="1" ht="12.75" x14ac:dyDescent="0.2">
      <c r="C47" s="9"/>
      <c r="D47" s="10" t="s">
        <v>78</v>
      </c>
      <c r="E47" s="11" t="s">
        <v>79</v>
      </c>
      <c r="F47" s="12" t="s">
        <v>80</v>
      </c>
      <c r="G47" s="13">
        <f t="shared" si="0"/>
        <v>0</v>
      </c>
      <c r="H47" s="15"/>
      <c r="I47" s="15"/>
      <c r="J47" s="15"/>
      <c r="K47" s="15"/>
      <c r="L47" s="61"/>
      <c r="M47" s="49"/>
      <c r="P47" s="67">
        <v>180</v>
      </c>
    </row>
    <row r="48" spans="3:16" s="60" customFormat="1" ht="12.75" x14ac:dyDescent="0.2">
      <c r="C48" s="9"/>
      <c r="D48" s="10" t="s">
        <v>81</v>
      </c>
      <c r="E48" s="11" t="s">
        <v>82</v>
      </c>
      <c r="F48" s="12" t="s">
        <v>83</v>
      </c>
      <c r="G48" s="13">
        <f t="shared" si="0"/>
        <v>204.41399999999999</v>
      </c>
      <c r="H48" s="15">
        <v>5.3999999999999999E-2</v>
      </c>
      <c r="I48" s="15">
        <v>18.324000000000002</v>
      </c>
      <c r="J48" s="15">
        <v>2.097</v>
      </c>
      <c r="K48" s="15">
        <v>183.93899999999999</v>
      </c>
      <c r="L48" s="61"/>
      <c r="M48" s="49"/>
      <c r="P48" s="67">
        <v>190</v>
      </c>
    </row>
    <row r="49" spans="3:16" s="60" customFormat="1" ht="12.75" x14ac:dyDescent="0.2">
      <c r="C49" s="9"/>
      <c r="D49" s="10" t="s">
        <v>84</v>
      </c>
      <c r="E49" s="14" t="s">
        <v>85</v>
      </c>
      <c r="F49" s="12" t="s">
        <v>86</v>
      </c>
      <c r="G49" s="13">
        <f t="shared" si="0"/>
        <v>0</v>
      </c>
      <c r="H49" s="15"/>
      <c r="I49" s="15"/>
      <c r="J49" s="15"/>
      <c r="K49" s="15"/>
      <c r="L49" s="61"/>
      <c r="M49" s="49"/>
      <c r="P49" s="67">
        <v>200</v>
      </c>
    </row>
    <row r="50" spans="3:16" s="60" customFormat="1" ht="22.5" x14ac:dyDescent="0.2">
      <c r="C50" s="9"/>
      <c r="D50" s="10" t="s">
        <v>87</v>
      </c>
      <c r="E50" s="11" t="s">
        <v>88</v>
      </c>
      <c r="F50" s="12" t="s">
        <v>89</v>
      </c>
      <c r="G50" s="13">
        <f t="shared" si="0"/>
        <v>160.55600000000001</v>
      </c>
      <c r="H50" s="15"/>
      <c r="I50" s="15">
        <f>160.556*0.2468</f>
        <v>39.625220800000001</v>
      </c>
      <c r="J50" s="15">
        <f>160.556*0.3291</f>
        <v>52.838979600000002</v>
      </c>
      <c r="K50" s="15">
        <f>160.556*0.4241</f>
        <v>68.091799600000002</v>
      </c>
      <c r="L50" s="61"/>
      <c r="M50" s="49"/>
      <c r="P50" s="68"/>
    </row>
    <row r="51" spans="3:16" s="60" customFormat="1" ht="33.75" x14ac:dyDescent="0.2">
      <c r="C51" s="9"/>
      <c r="D51" s="10" t="s">
        <v>90</v>
      </c>
      <c r="E51" s="32" t="s">
        <v>91</v>
      </c>
      <c r="F51" s="12" t="s">
        <v>92</v>
      </c>
      <c r="G51" s="13">
        <f t="shared" si="0"/>
        <v>43.85799999999999</v>
      </c>
      <c r="H51" s="13">
        <f>H48-H50</f>
        <v>5.3999999999999999E-2</v>
      </c>
      <c r="I51" s="13">
        <f>I48-I50</f>
        <v>-21.301220799999999</v>
      </c>
      <c r="J51" s="13">
        <f>J48-J50</f>
        <v>-50.741979600000001</v>
      </c>
      <c r="K51" s="13">
        <f>K48-K50</f>
        <v>115.84720039999999</v>
      </c>
      <c r="L51" s="61"/>
      <c r="M51" s="49"/>
      <c r="P51" s="68"/>
    </row>
    <row r="52" spans="3:16" s="60" customFormat="1" ht="12.75" x14ac:dyDescent="0.2">
      <c r="C52" s="9"/>
      <c r="D52" s="10" t="s">
        <v>93</v>
      </c>
      <c r="E52" s="11" t="s">
        <v>94</v>
      </c>
      <c r="F52" s="12" t="s">
        <v>95</v>
      </c>
      <c r="G52" s="13">
        <f t="shared" si="0"/>
        <v>0</v>
      </c>
      <c r="H52" s="13">
        <f>(H15+H28+H33)-(H34+H45+H46+H47+H48)</f>
        <v>0</v>
      </c>
      <c r="I52" s="13">
        <f>(I15+I28+I33)-(I34+I45+I46+I47+I48)</f>
        <v>0</v>
      </c>
      <c r="J52" s="13">
        <f>(J15+J28+J33)-(J34+J45+J46+J47+J48)</f>
        <v>0</v>
      </c>
      <c r="K52" s="13">
        <f>(K15+K28+K33)-(K34+K45+K46+K47+K48)</f>
        <v>0</v>
      </c>
      <c r="L52" s="61"/>
      <c r="M52" s="49"/>
      <c r="P52" s="67">
        <v>210</v>
      </c>
    </row>
    <row r="53" spans="3:16" s="60" customFormat="1" ht="12.75" x14ac:dyDescent="0.2">
      <c r="C53" s="9"/>
      <c r="D53" s="99" t="s">
        <v>96</v>
      </c>
      <c r="E53" s="100"/>
      <c r="F53" s="100"/>
      <c r="G53" s="100"/>
      <c r="H53" s="100"/>
      <c r="I53" s="100"/>
      <c r="J53" s="100"/>
      <c r="K53" s="101"/>
      <c r="L53" s="61"/>
      <c r="M53" s="49"/>
      <c r="P53" s="68"/>
    </row>
    <row r="54" spans="3:16" s="60" customFormat="1" ht="12.75" x14ac:dyDescent="0.2">
      <c r="C54" s="9"/>
      <c r="D54" s="10" t="s">
        <v>97</v>
      </c>
      <c r="E54" s="11" t="s">
        <v>13</v>
      </c>
      <c r="F54" s="12" t="s">
        <v>98</v>
      </c>
      <c r="G54" s="13">
        <f t="shared" si="0"/>
        <v>9.5413682795698929</v>
      </c>
      <c r="H54" s="13">
        <f>H55+H56+H59+H62</f>
        <v>1.2806908602150537</v>
      </c>
      <c r="I54" s="13">
        <f>I55+I56+I59+I62</f>
        <v>7.3118051075268822</v>
      </c>
      <c r="J54" s="13">
        <f>J55+J56+J59+J62</f>
        <v>0.94887231182795695</v>
      </c>
      <c r="K54" s="13">
        <f>K55+K56+K59+K62</f>
        <v>0</v>
      </c>
      <c r="L54" s="61"/>
      <c r="M54" s="49"/>
      <c r="P54" s="67">
        <v>300</v>
      </c>
    </row>
    <row r="55" spans="3:16" s="60" customFormat="1" ht="12.75" x14ac:dyDescent="0.2">
      <c r="C55" s="9"/>
      <c r="D55" s="10" t="s">
        <v>99</v>
      </c>
      <c r="E55" s="14" t="s">
        <v>15</v>
      </c>
      <c r="F55" s="12" t="s">
        <v>100</v>
      </c>
      <c r="G55" s="13">
        <f t="shared" si="0"/>
        <v>0</v>
      </c>
      <c r="H55" s="15"/>
      <c r="I55" s="15"/>
      <c r="J55" s="15"/>
      <c r="K55" s="15"/>
      <c r="L55" s="61"/>
      <c r="M55" s="49"/>
      <c r="P55" s="67">
        <v>310</v>
      </c>
    </row>
    <row r="56" spans="3:16" s="60" customFormat="1" ht="12.75" x14ac:dyDescent="0.2">
      <c r="C56" s="9"/>
      <c r="D56" s="10" t="s">
        <v>101</v>
      </c>
      <c r="E56" s="14" t="s">
        <v>17</v>
      </c>
      <c r="F56" s="12" t="s">
        <v>102</v>
      </c>
      <c r="G56" s="13">
        <f t="shared" si="0"/>
        <v>0</v>
      </c>
      <c r="H56" s="13">
        <f>SUM(H57:H58)</f>
        <v>0</v>
      </c>
      <c r="I56" s="13">
        <f>SUM(I57:I58)</f>
        <v>0</v>
      </c>
      <c r="J56" s="13">
        <f>SUM(J57:J58)</f>
        <v>0</v>
      </c>
      <c r="K56" s="13">
        <f>SUM(K57:K58)</f>
        <v>0</v>
      </c>
      <c r="L56" s="61"/>
      <c r="M56" s="49"/>
      <c r="P56" s="67">
        <v>320</v>
      </c>
    </row>
    <row r="57" spans="3:16" s="60" customFormat="1" ht="12.75" x14ac:dyDescent="0.2">
      <c r="C57" s="9"/>
      <c r="D57" s="16" t="s">
        <v>103</v>
      </c>
      <c r="E57" s="17"/>
      <c r="F57" s="18" t="s">
        <v>102</v>
      </c>
      <c r="G57" s="19"/>
      <c r="H57" s="19"/>
      <c r="I57" s="19"/>
      <c r="J57" s="19"/>
      <c r="K57" s="19"/>
      <c r="L57" s="61"/>
      <c r="M57" s="49"/>
      <c r="P57" s="67"/>
    </row>
    <row r="58" spans="3:16" s="60" customFormat="1" ht="12.75" x14ac:dyDescent="0.2">
      <c r="C58" s="9"/>
      <c r="D58" s="20"/>
      <c r="E58" s="21" t="s">
        <v>20</v>
      </c>
      <c r="F58" s="22"/>
      <c r="G58" s="22"/>
      <c r="H58" s="22"/>
      <c r="I58" s="22"/>
      <c r="J58" s="22"/>
      <c r="K58" s="23"/>
      <c r="L58" s="61"/>
      <c r="M58" s="49"/>
      <c r="P58" s="67"/>
    </row>
    <row r="59" spans="3:16" s="60" customFormat="1" ht="12.75" x14ac:dyDescent="0.2">
      <c r="C59" s="9"/>
      <c r="D59" s="10" t="s">
        <v>104</v>
      </c>
      <c r="E59" s="14" t="s">
        <v>22</v>
      </c>
      <c r="F59" s="12" t="s">
        <v>105</v>
      </c>
      <c r="G59" s="13">
        <f t="shared" si="0"/>
        <v>0</v>
      </c>
      <c r="H59" s="13">
        <f>SUM(H60:H61)</f>
        <v>0</v>
      </c>
      <c r="I59" s="13">
        <f>SUM(I60:I61)</f>
        <v>0</v>
      </c>
      <c r="J59" s="13">
        <f>SUM(J60:J61)</f>
        <v>0</v>
      </c>
      <c r="K59" s="13">
        <f>SUM(K60:K61)</f>
        <v>0</v>
      </c>
      <c r="L59" s="61"/>
      <c r="M59" s="49"/>
      <c r="P59" s="67"/>
    </row>
    <row r="60" spans="3:16" s="60" customFormat="1" ht="12.75" x14ac:dyDescent="0.2">
      <c r="C60" s="9"/>
      <c r="D60" s="16" t="s">
        <v>106</v>
      </c>
      <c r="E60" s="17"/>
      <c r="F60" s="18" t="s">
        <v>105</v>
      </c>
      <c r="G60" s="19"/>
      <c r="H60" s="19"/>
      <c r="I60" s="19"/>
      <c r="J60" s="19"/>
      <c r="K60" s="19"/>
      <c r="L60" s="61"/>
      <c r="M60" s="49"/>
      <c r="P60" s="67"/>
    </row>
    <row r="61" spans="3:16" s="60" customFormat="1" ht="12.75" x14ac:dyDescent="0.2">
      <c r="C61" s="9"/>
      <c r="D61" s="20"/>
      <c r="E61" s="21" t="s">
        <v>20</v>
      </c>
      <c r="F61" s="22"/>
      <c r="G61" s="22"/>
      <c r="H61" s="22"/>
      <c r="I61" s="22"/>
      <c r="J61" s="22"/>
      <c r="K61" s="23"/>
      <c r="L61" s="61"/>
      <c r="M61" s="49"/>
      <c r="P61" s="67"/>
    </row>
    <row r="62" spans="3:16" s="60" customFormat="1" ht="12.75" x14ac:dyDescent="0.2">
      <c r="C62" s="9"/>
      <c r="D62" s="10" t="s">
        <v>107</v>
      </c>
      <c r="E62" s="14" t="s">
        <v>26</v>
      </c>
      <c r="F62" s="12" t="s">
        <v>108</v>
      </c>
      <c r="G62" s="13">
        <f t="shared" si="0"/>
        <v>9.5413682795698929</v>
      </c>
      <c r="H62" s="13">
        <f>SUM(H63:H66)</f>
        <v>1.2806908602150537</v>
      </c>
      <c r="I62" s="13">
        <f>SUM(I63:I66)</f>
        <v>7.3118051075268822</v>
      </c>
      <c r="J62" s="13">
        <f>SUM(J63:J66)</f>
        <v>0.94887231182795695</v>
      </c>
      <c r="K62" s="13">
        <f>SUM(K63:K66)</f>
        <v>0</v>
      </c>
      <c r="L62" s="61"/>
      <c r="M62" s="49"/>
      <c r="P62" s="67">
        <v>330</v>
      </c>
    </row>
    <row r="63" spans="3:16" s="60" customFormat="1" ht="12.75" x14ac:dyDescent="0.2">
      <c r="C63" s="9"/>
      <c r="D63" s="16" t="s">
        <v>109</v>
      </c>
      <c r="E63" s="17"/>
      <c r="F63" s="18" t="s">
        <v>108</v>
      </c>
      <c r="G63" s="19"/>
      <c r="H63" s="19"/>
      <c r="I63" s="19"/>
      <c r="J63" s="19"/>
      <c r="K63" s="19"/>
      <c r="L63" s="61"/>
      <c r="M63" s="49"/>
      <c r="P63" s="67"/>
    </row>
    <row r="64" spans="3:16" s="60" customFormat="1" ht="15" x14ac:dyDescent="0.25">
      <c r="C64" s="24" t="s">
        <v>29</v>
      </c>
      <c r="D64" s="25" t="s">
        <v>110</v>
      </c>
      <c r="E64" s="26" t="s">
        <v>344</v>
      </c>
      <c r="F64" s="27">
        <v>1461</v>
      </c>
      <c r="G64" s="28">
        <f>SUM(H64:K64)</f>
        <v>9.1443198924731188</v>
      </c>
      <c r="H64" s="29">
        <f>H25/744</f>
        <v>1.2806908602150537</v>
      </c>
      <c r="I64" s="29">
        <f>I25/744</f>
        <v>7.3118051075268822</v>
      </c>
      <c r="J64" s="29">
        <f>J25/744</f>
        <v>0.5518239247311828</v>
      </c>
      <c r="K64" s="29"/>
      <c r="L64" s="61"/>
      <c r="M64" s="69" t="s">
        <v>327</v>
      </c>
      <c r="N64" s="70" t="s">
        <v>328</v>
      </c>
      <c r="O64" s="70" t="s">
        <v>329</v>
      </c>
    </row>
    <row r="65" spans="3:16" s="60" customFormat="1" ht="15" x14ac:dyDescent="0.25">
      <c r="C65" s="24" t="s">
        <v>29</v>
      </c>
      <c r="D65" s="25" t="s">
        <v>343</v>
      </c>
      <c r="E65" s="26" t="s">
        <v>68</v>
      </c>
      <c r="F65" s="27">
        <v>1462</v>
      </c>
      <c r="G65" s="28">
        <f>SUM(H65:K65)</f>
        <v>0.3970483870967742</v>
      </c>
      <c r="H65" s="29"/>
      <c r="I65" s="29"/>
      <c r="J65" s="29">
        <f>J26/744</f>
        <v>0.3970483870967742</v>
      </c>
      <c r="K65" s="30"/>
      <c r="L65" s="61"/>
      <c r="M65" s="69" t="s">
        <v>330</v>
      </c>
      <c r="N65" s="70" t="s">
        <v>328</v>
      </c>
      <c r="O65" s="70" t="s">
        <v>332</v>
      </c>
    </row>
    <row r="66" spans="3:16" s="60" customFormat="1" ht="12.75" x14ac:dyDescent="0.2">
      <c r="C66" s="9"/>
      <c r="D66" s="20"/>
      <c r="E66" s="21" t="s">
        <v>20</v>
      </c>
      <c r="F66" s="22"/>
      <c r="G66" s="22"/>
      <c r="H66" s="22"/>
      <c r="I66" s="22"/>
      <c r="J66" s="22"/>
      <c r="K66" s="23"/>
      <c r="L66" s="61"/>
      <c r="M66" s="49"/>
      <c r="P66" s="67"/>
    </row>
    <row r="67" spans="3:16" s="60" customFormat="1" ht="12.75" x14ac:dyDescent="0.2">
      <c r="C67" s="9"/>
      <c r="D67" s="10" t="s">
        <v>111</v>
      </c>
      <c r="E67" s="11" t="s">
        <v>32</v>
      </c>
      <c r="F67" s="12" t="s">
        <v>112</v>
      </c>
      <c r="G67" s="13">
        <f t="shared" si="0"/>
        <v>4.0387379032258073</v>
      </c>
      <c r="H67" s="13">
        <f>H69+H70+H71</f>
        <v>0</v>
      </c>
      <c r="I67" s="13">
        <f>I68+I70+I71</f>
        <v>0</v>
      </c>
      <c r="J67" s="13">
        <f>J68+J69+J71</f>
        <v>2.5897607526881723</v>
      </c>
      <c r="K67" s="13">
        <f>K68+K69+K70</f>
        <v>1.4489771505376348</v>
      </c>
      <c r="L67" s="61"/>
      <c r="M67" s="49"/>
      <c r="P67" s="67">
        <v>340</v>
      </c>
    </row>
    <row r="68" spans="3:16" s="60" customFormat="1" ht="12.75" x14ac:dyDescent="0.2">
      <c r="C68" s="9"/>
      <c r="D68" s="10" t="s">
        <v>113</v>
      </c>
      <c r="E68" s="14" t="s">
        <v>7</v>
      </c>
      <c r="F68" s="12" t="s">
        <v>114</v>
      </c>
      <c r="G68" s="13">
        <f t="shared" si="0"/>
        <v>1.2806182795698924</v>
      </c>
      <c r="H68" s="31"/>
      <c r="I68" s="15"/>
      <c r="J68" s="15">
        <f>J29/744</f>
        <v>1.2806182795698924</v>
      </c>
      <c r="K68" s="15"/>
      <c r="L68" s="61"/>
      <c r="M68" s="49"/>
      <c r="P68" s="67">
        <v>350</v>
      </c>
    </row>
    <row r="69" spans="3:16" s="60" customFormat="1" ht="12.75" x14ac:dyDescent="0.2">
      <c r="C69" s="9"/>
      <c r="D69" s="10" t="s">
        <v>115</v>
      </c>
      <c r="E69" s="14" t="s">
        <v>8</v>
      </c>
      <c r="F69" s="12" t="s">
        <v>116</v>
      </c>
      <c r="G69" s="13">
        <f t="shared" si="0"/>
        <v>1.3091424731182797</v>
      </c>
      <c r="H69" s="15"/>
      <c r="I69" s="38"/>
      <c r="J69" s="15">
        <f>J30/744</f>
        <v>1.3091424731182797</v>
      </c>
      <c r="K69" s="15"/>
      <c r="L69" s="61"/>
      <c r="M69" s="49"/>
      <c r="P69" s="67">
        <v>360</v>
      </c>
    </row>
    <row r="70" spans="3:16" s="60" customFormat="1" ht="12.75" x14ac:dyDescent="0.2">
      <c r="C70" s="9"/>
      <c r="D70" s="10" t="s">
        <v>117</v>
      </c>
      <c r="E70" s="14" t="s">
        <v>9</v>
      </c>
      <c r="F70" s="12" t="s">
        <v>118</v>
      </c>
      <c r="G70" s="13">
        <f t="shared" si="0"/>
        <v>1.4489771505376348</v>
      </c>
      <c r="H70" s="15"/>
      <c r="I70" s="15"/>
      <c r="J70" s="31"/>
      <c r="K70" s="15">
        <f>K31/744</f>
        <v>1.4489771505376348</v>
      </c>
      <c r="L70" s="61"/>
      <c r="M70" s="49"/>
      <c r="P70" s="67">
        <v>370</v>
      </c>
    </row>
    <row r="71" spans="3:16" s="60" customFormat="1" ht="12.75" x14ac:dyDescent="0.2">
      <c r="C71" s="9"/>
      <c r="D71" s="10" t="s">
        <v>119</v>
      </c>
      <c r="E71" s="14" t="s">
        <v>41</v>
      </c>
      <c r="F71" s="12" t="s">
        <v>120</v>
      </c>
      <c r="G71" s="13">
        <f t="shared" si="0"/>
        <v>0</v>
      </c>
      <c r="H71" s="15"/>
      <c r="I71" s="15"/>
      <c r="J71" s="15"/>
      <c r="K71" s="31"/>
      <c r="L71" s="61"/>
      <c r="M71" s="49"/>
      <c r="P71" s="67">
        <v>380</v>
      </c>
    </row>
    <row r="72" spans="3:16" s="60" customFormat="1" ht="12.75" x14ac:dyDescent="0.2">
      <c r="C72" s="9"/>
      <c r="D72" s="10" t="s">
        <v>121</v>
      </c>
      <c r="E72" s="32" t="s">
        <v>44</v>
      </c>
      <c r="F72" s="12" t="s">
        <v>122</v>
      </c>
      <c r="G72" s="13">
        <f t="shared" si="0"/>
        <v>0</v>
      </c>
      <c r="H72" s="15"/>
      <c r="I72" s="15"/>
      <c r="J72" s="15"/>
      <c r="K72" s="15"/>
      <c r="L72" s="61"/>
      <c r="M72" s="49"/>
      <c r="P72" s="67"/>
    </row>
    <row r="73" spans="3:16" s="60" customFormat="1" ht="12.75" x14ac:dyDescent="0.2">
      <c r="C73" s="9"/>
      <c r="D73" s="10" t="s">
        <v>123</v>
      </c>
      <c r="E73" s="11" t="s">
        <v>47</v>
      </c>
      <c r="F73" s="33" t="s">
        <v>124</v>
      </c>
      <c r="G73" s="13">
        <f t="shared" si="0"/>
        <v>9.2666182795698919</v>
      </c>
      <c r="H73" s="13">
        <f>H74+H76+H79+H83</f>
        <v>0</v>
      </c>
      <c r="I73" s="13">
        <f>I74+I76+I79+I83</f>
        <v>5.9780336021505374</v>
      </c>
      <c r="J73" s="13">
        <f>J74+J76+J79+J83</f>
        <v>2.0868373655913977</v>
      </c>
      <c r="K73" s="13">
        <f>K74+K76+K79+K83</f>
        <v>1.2017473118279569</v>
      </c>
      <c r="L73" s="61"/>
      <c r="M73" s="49"/>
      <c r="P73" s="67">
        <v>390</v>
      </c>
    </row>
    <row r="74" spans="3:16" s="60" customFormat="1" ht="22.5" x14ac:dyDescent="0.2">
      <c r="C74" s="9"/>
      <c r="D74" s="10" t="s">
        <v>125</v>
      </c>
      <c r="E74" s="14" t="s">
        <v>50</v>
      </c>
      <c r="F74" s="12" t="s">
        <v>126</v>
      </c>
      <c r="G74" s="13">
        <f t="shared" si="0"/>
        <v>0</v>
      </c>
      <c r="H74" s="15"/>
      <c r="I74" s="15"/>
      <c r="J74" s="15"/>
      <c r="K74" s="15"/>
      <c r="L74" s="61"/>
      <c r="M74" s="49"/>
      <c r="P74" s="67"/>
    </row>
    <row r="75" spans="3:16" s="60" customFormat="1" ht="12.75" x14ac:dyDescent="0.2">
      <c r="C75" s="9"/>
      <c r="D75" s="10" t="s">
        <v>127</v>
      </c>
      <c r="E75" s="34" t="s">
        <v>53</v>
      </c>
      <c r="F75" s="12" t="s">
        <v>128</v>
      </c>
      <c r="G75" s="13">
        <f t="shared" si="0"/>
        <v>0</v>
      </c>
      <c r="H75" s="15"/>
      <c r="I75" s="15"/>
      <c r="J75" s="15"/>
      <c r="K75" s="15"/>
      <c r="L75" s="61"/>
      <c r="M75" s="49"/>
      <c r="P75" s="67"/>
    </row>
    <row r="76" spans="3:16" s="60" customFormat="1" ht="12.75" x14ac:dyDescent="0.2">
      <c r="C76" s="9"/>
      <c r="D76" s="10" t="s">
        <v>129</v>
      </c>
      <c r="E76" s="14" t="s">
        <v>56</v>
      </c>
      <c r="F76" s="12" t="s">
        <v>130</v>
      </c>
      <c r="G76" s="13">
        <f t="shared" si="0"/>
        <v>4.2814341397849462</v>
      </c>
      <c r="H76" s="15">
        <f>H37/744</f>
        <v>0</v>
      </c>
      <c r="I76" s="15">
        <f>I37/744</f>
        <v>0.99284946236559179</v>
      </c>
      <c r="J76" s="15">
        <f>J37/744</f>
        <v>2.0868373655913977</v>
      </c>
      <c r="K76" s="15">
        <f>K37/744</f>
        <v>1.2017473118279569</v>
      </c>
      <c r="L76" s="61"/>
      <c r="M76" s="49"/>
      <c r="P76" s="67"/>
    </row>
    <row r="77" spans="3:16" s="60" customFormat="1" ht="12.75" x14ac:dyDescent="0.2">
      <c r="C77" s="9"/>
      <c r="D77" s="10" t="s">
        <v>131</v>
      </c>
      <c r="E77" s="34" t="s">
        <v>59</v>
      </c>
      <c r="F77" s="12" t="s">
        <v>132</v>
      </c>
      <c r="G77" s="13">
        <f t="shared" si="0"/>
        <v>0</v>
      </c>
      <c r="H77" s="15"/>
      <c r="I77" s="15"/>
      <c r="J77" s="15"/>
      <c r="K77" s="15"/>
      <c r="L77" s="61"/>
      <c r="M77" s="49"/>
      <c r="P77" s="67"/>
    </row>
    <row r="78" spans="3:16" s="60" customFormat="1" ht="12.75" x14ac:dyDescent="0.2">
      <c r="C78" s="9"/>
      <c r="D78" s="10" t="s">
        <v>133</v>
      </c>
      <c r="E78" s="35" t="s">
        <v>53</v>
      </c>
      <c r="F78" s="12" t="s">
        <v>134</v>
      </c>
      <c r="G78" s="13">
        <f t="shared" si="0"/>
        <v>0</v>
      </c>
      <c r="H78" s="15"/>
      <c r="I78" s="15"/>
      <c r="J78" s="15"/>
      <c r="K78" s="15"/>
      <c r="L78" s="61"/>
      <c r="M78" s="49"/>
      <c r="P78" s="67"/>
    </row>
    <row r="79" spans="3:16" s="60" customFormat="1" ht="12.75" x14ac:dyDescent="0.2">
      <c r="C79" s="9"/>
      <c r="D79" s="10" t="s">
        <v>135</v>
      </c>
      <c r="E79" s="14" t="s">
        <v>64</v>
      </c>
      <c r="F79" s="12" t="s">
        <v>136</v>
      </c>
      <c r="G79" s="13">
        <f t="shared" si="0"/>
        <v>4.9851841397849457</v>
      </c>
      <c r="H79" s="13">
        <f>SUM(H80:H82)</f>
        <v>0</v>
      </c>
      <c r="I79" s="13">
        <f>SUM(I80:I82)</f>
        <v>4.9851841397849457</v>
      </c>
      <c r="J79" s="13">
        <f>SUM(J80:J82)</f>
        <v>0</v>
      </c>
      <c r="K79" s="13">
        <f>SUM(K80:K82)</f>
        <v>0</v>
      </c>
      <c r="L79" s="61"/>
      <c r="M79" s="49"/>
      <c r="P79" s="67"/>
    </row>
    <row r="80" spans="3:16" s="60" customFormat="1" ht="12.75" x14ac:dyDescent="0.2">
      <c r="C80" s="9"/>
      <c r="D80" s="16" t="s">
        <v>137</v>
      </c>
      <c r="E80" s="17"/>
      <c r="F80" s="18" t="s">
        <v>136</v>
      </c>
      <c r="G80" s="19"/>
      <c r="H80" s="19"/>
      <c r="I80" s="19"/>
      <c r="J80" s="19"/>
      <c r="K80" s="19"/>
      <c r="L80" s="61"/>
      <c r="M80" s="49"/>
      <c r="P80" s="67"/>
    </row>
    <row r="81" spans="3:16" s="60" customFormat="1" ht="15" x14ac:dyDescent="0.25">
      <c r="C81" s="24" t="s">
        <v>29</v>
      </c>
      <c r="D81" s="25" t="s">
        <v>138</v>
      </c>
      <c r="E81" s="26" t="s">
        <v>68</v>
      </c>
      <c r="F81" s="27">
        <v>1781</v>
      </c>
      <c r="G81" s="28">
        <f>SUM(H81:K81)</f>
        <v>4.9851841397849457</v>
      </c>
      <c r="H81" s="29"/>
      <c r="I81" s="29">
        <f>I42/744</f>
        <v>4.9851841397849457</v>
      </c>
      <c r="J81" s="29"/>
      <c r="K81" s="30"/>
      <c r="L81" s="61"/>
      <c r="M81" s="69" t="s">
        <v>330</v>
      </c>
      <c r="N81" s="70" t="s">
        <v>331</v>
      </c>
      <c r="O81" s="70" t="s">
        <v>332</v>
      </c>
    </row>
    <row r="82" spans="3:16" s="60" customFormat="1" ht="12.75" x14ac:dyDescent="0.2">
      <c r="C82" s="9"/>
      <c r="D82" s="20"/>
      <c r="E82" s="21" t="s">
        <v>20</v>
      </c>
      <c r="F82" s="22"/>
      <c r="G82" s="22"/>
      <c r="H82" s="22"/>
      <c r="I82" s="22"/>
      <c r="J82" s="22"/>
      <c r="K82" s="23"/>
      <c r="L82" s="61"/>
      <c r="M82" s="49"/>
      <c r="P82" s="67"/>
    </row>
    <row r="83" spans="3:16" s="60" customFormat="1" ht="12.75" x14ac:dyDescent="0.2">
      <c r="C83" s="9"/>
      <c r="D83" s="10" t="s">
        <v>139</v>
      </c>
      <c r="E83" s="37" t="s">
        <v>70</v>
      </c>
      <c r="F83" s="12" t="s">
        <v>140</v>
      </c>
      <c r="G83" s="13">
        <f t="shared" si="0"/>
        <v>0</v>
      </c>
      <c r="H83" s="15"/>
      <c r="I83" s="15"/>
      <c r="J83" s="15"/>
      <c r="K83" s="15"/>
      <c r="L83" s="61"/>
      <c r="M83" s="49"/>
      <c r="P83" s="67">
        <v>410</v>
      </c>
    </row>
    <row r="84" spans="3:16" s="60" customFormat="1" ht="12.75" x14ac:dyDescent="0.2">
      <c r="C84" s="9"/>
      <c r="D84" s="10" t="s">
        <v>141</v>
      </c>
      <c r="E84" s="11" t="s">
        <v>73</v>
      </c>
      <c r="F84" s="12" t="s">
        <v>142</v>
      </c>
      <c r="G84" s="13">
        <f t="shared" si="0"/>
        <v>4.0387379032258073</v>
      </c>
      <c r="H84" s="15">
        <f>H45/744</f>
        <v>1.2806182795698924</v>
      </c>
      <c r="I84" s="15">
        <f>I45/744</f>
        <v>1.3091424731182797</v>
      </c>
      <c r="J84" s="15">
        <f>J45/744</f>
        <v>1.448977150537635</v>
      </c>
      <c r="K84" s="15">
        <f>K45/744</f>
        <v>0</v>
      </c>
      <c r="L84" s="61"/>
      <c r="M84" s="49"/>
      <c r="P84" s="67">
        <v>440</v>
      </c>
    </row>
    <row r="85" spans="3:16" s="60" customFormat="1" ht="12.75" x14ac:dyDescent="0.2">
      <c r="C85" s="9"/>
      <c r="D85" s="10" t="s">
        <v>143</v>
      </c>
      <c r="E85" s="11" t="s">
        <v>76</v>
      </c>
      <c r="F85" s="12" t="s">
        <v>144</v>
      </c>
      <c r="G85" s="13">
        <f t="shared" si="0"/>
        <v>0</v>
      </c>
      <c r="H85" s="15"/>
      <c r="I85" s="15"/>
      <c r="J85" s="15"/>
      <c r="K85" s="15"/>
      <c r="L85" s="61"/>
      <c r="M85" s="49"/>
      <c r="P85" s="67">
        <v>450</v>
      </c>
    </row>
    <row r="86" spans="3:16" s="60" customFormat="1" ht="12.75" x14ac:dyDescent="0.2">
      <c r="C86" s="9"/>
      <c r="D86" s="10" t="s">
        <v>145</v>
      </c>
      <c r="E86" s="11" t="s">
        <v>79</v>
      </c>
      <c r="F86" s="12" t="s">
        <v>146</v>
      </c>
      <c r="G86" s="13">
        <f t="shared" si="0"/>
        <v>0</v>
      </c>
      <c r="H86" s="15"/>
      <c r="I86" s="15"/>
      <c r="J86" s="15"/>
      <c r="K86" s="15"/>
      <c r="L86" s="61"/>
      <c r="M86" s="49"/>
      <c r="P86" s="67">
        <v>470</v>
      </c>
    </row>
    <row r="87" spans="3:16" s="60" customFormat="1" ht="12.75" x14ac:dyDescent="0.2">
      <c r="C87" s="9"/>
      <c r="D87" s="10" t="s">
        <v>147</v>
      </c>
      <c r="E87" s="11" t="s">
        <v>82</v>
      </c>
      <c r="F87" s="12" t="s">
        <v>148</v>
      </c>
      <c r="G87" s="13">
        <f t="shared" si="0"/>
        <v>0.27474999999999999</v>
      </c>
      <c r="H87" s="15">
        <f>H48/744</f>
        <v>7.2580645161290317E-5</v>
      </c>
      <c r="I87" s="15">
        <f>I48/744</f>
        <v>2.462903225806452E-2</v>
      </c>
      <c r="J87" s="15">
        <f>J48/744</f>
        <v>2.8185483870967741E-3</v>
      </c>
      <c r="K87" s="15">
        <f>K48/744</f>
        <v>0.24722983870967741</v>
      </c>
      <c r="L87" s="61"/>
      <c r="M87" s="49"/>
      <c r="P87" s="67">
        <v>480</v>
      </c>
    </row>
    <row r="88" spans="3:16" s="60" customFormat="1" ht="12.75" x14ac:dyDescent="0.2">
      <c r="C88" s="9"/>
      <c r="D88" s="10" t="s">
        <v>149</v>
      </c>
      <c r="E88" s="14" t="s">
        <v>150</v>
      </c>
      <c r="F88" s="12" t="s">
        <v>151</v>
      </c>
      <c r="G88" s="13">
        <f t="shared" si="0"/>
        <v>0</v>
      </c>
      <c r="H88" s="15"/>
      <c r="I88" s="15"/>
      <c r="J88" s="15"/>
      <c r="K88" s="15"/>
      <c r="L88" s="61"/>
      <c r="M88" s="49"/>
      <c r="P88" s="67">
        <v>490</v>
      </c>
    </row>
    <row r="89" spans="3:16" s="60" customFormat="1" ht="22.5" x14ac:dyDescent="0.2">
      <c r="C89" s="9"/>
      <c r="D89" s="10" t="s">
        <v>152</v>
      </c>
      <c r="E89" s="11" t="s">
        <v>88</v>
      </c>
      <c r="F89" s="12" t="s">
        <v>153</v>
      </c>
      <c r="G89" s="13">
        <f t="shared" si="0"/>
        <v>0.2158010752688172</v>
      </c>
      <c r="H89" s="15"/>
      <c r="I89" s="15">
        <f>I50/744</f>
        <v>5.3259705376344085E-2</v>
      </c>
      <c r="J89" s="15">
        <f>J50/744</f>
        <v>7.1020133870967742E-2</v>
      </c>
      <c r="K89" s="15">
        <f>K50/744</f>
        <v>9.1521236021505373E-2</v>
      </c>
      <c r="L89" s="61"/>
      <c r="M89" s="49"/>
      <c r="P89" s="67"/>
    </row>
    <row r="90" spans="3:16" s="60" customFormat="1" ht="33.75" x14ac:dyDescent="0.2">
      <c r="C90" s="9"/>
      <c r="D90" s="10" t="s">
        <v>154</v>
      </c>
      <c r="E90" s="32" t="s">
        <v>91</v>
      </c>
      <c r="F90" s="12" t="s">
        <v>155</v>
      </c>
      <c r="G90" s="13">
        <f t="shared" si="0"/>
        <v>5.8948924731182809E-2</v>
      </c>
      <c r="H90" s="13">
        <f>H87-H89</f>
        <v>7.2580645161290317E-5</v>
      </c>
      <c r="I90" s="13">
        <f>I87-I89</f>
        <v>-2.8630673118279566E-2</v>
      </c>
      <c r="J90" s="13">
        <f>J87-J89</f>
        <v>-6.8201585483870966E-2</v>
      </c>
      <c r="K90" s="13">
        <f>K87-K89</f>
        <v>0.15570860268817205</v>
      </c>
      <c r="L90" s="61"/>
      <c r="M90" s="49"/>
      <c r="P90" s="67"/>
    </row>
    <row r="91" spans="3:16" s="60" customFormat="1" ht="12.75" x14ac:dyDescent="0.2">
      <c r="C91" s="9"/>
      <c r="D91" s="10" t="s">
        <v>156</v>
      </c>
      <c r="E91" s="11" t="s">
        <v>94</v>
      </c>
      <c r="F91" s="12" t="s">
        <v>157</v>
      </c>
      <c r="G91" s="13">
        <f t="shared" si="0"/>
        <v>0</v>
      </c>
      <c r="H91" s="13">
        <f>(H54+H67+H72)-(H73+H84+H85+H86+H87)</f>
        <v>0</v>
      </c>
      <c r="I91" s="13">
        <f>(I54+I67+I72)-(I73+I84+I85+I86+I87)</f>
        <v>0</v>
      </c>
      <c r="J91" s="13">
        <f>(J54+J67+J72)-(J73+J84+J85+J86+J87)</f>
        <v>0</v>
      </c>
      <c r="K91" s="13">
        <f>(K54+K67+K72)-(K73+K84+K85+K86+K87)</f>
        <v>0</v>
      </c>
      <c r="L91" s="61"/>
      <c r="M91" s="49"/>
      <c r="P91" s="67">
        <v>500</v>
      </c>
    </row>
    <row r="92" spans="3:16" s="60" customFormat="1" ht="12.75" x14ac:dyDescent="0.2">
      <c r="C92" s="9"/>
      <c r="D92" s="99" t="s">
        <v>158</v>
      </c>
      <c r="E92" s="100"/>
      <c r="F92" s="100"/>
      <c r="G92" s="100"/>
      <c r="H92" s="100"/>
      <c r="I92" s="100"/>
      <c r="J92" s="100"/>
      <c r="K92" s="101"/>
      <c r="L92" s="61"/>
      <c r="M92" s="49"/>
      <c r="P92" s="68"/>
    </row>
    <row r="93" spans="3:16" s="60" customFormat="1" ht="12.75" x14ac:dyDescent="0.2">
      <c r="C93" s="9"/>
      <c r="D93" s="10" t="s">
        <v>159</v>
      </c>
      <c r="E93" s="11" t="s">
        <v>160</v>
      </c>
      <c r="F93" s="12" t="s">
        <v>161</v>
      </c>
      <c r="G93" s="13">
        <f t="shared" si="0"/>
        <v>0</v>
      </c>
      <c r="H93" s="15"/>
      <c r="I93" s="15"/>
      <c r="J93" s="15"/>
      <c r="K93" s="15"/>
      <c r="L93" s="61"/>
      <c r="M93" s="49"/>
      <c r="P93" s="67">
        <v>600</v>
      </c>
    </row>
    <row r="94" spans="3:16" s="60" customFormat="1" ht="12.75" x14ac:dyDescent="0.2">
      <c r="C94" s="9"/>
      <c r="D94" s="10" t="s">
        <v>162</v>
      </c>
      <c r="E94" s="11" t="s">
        <v>163</v>
      </c>
      <c r="F94" s="12" t="s">
        <v>164</v>
      </c>
      <c r="G94" s="13">
        <f t="shared" si="0"/>
        <v>44.622999999999998</v>
      </c>
      <c r="H94" s="15"/>
      <c r="I94" s="15">
        <v>44.622999999999998</v>
      </c>
      <c r="J94" s="15"/>
      <c r="K94" s="15"/>
      <c r="L94" s="61"/>
      <c r="M94" s="49"/>
      <c r="P94" s="67">
        <v>610</v>
      </c>
    </row>
    <row r="95" spans="3:16" s="60" customFormat="1" ht="12.75" x14ac:dyDescent="0.2">
      <c r="C95" s="9"/>
      <c r="D95" s="10" t="s">
        <v>165</v>
      </c>
      <c r="E95" s="11" t="s">
        <v>166</v>
      </c>
      <c r="F95" s="12" t="s">
        <v>167</v>
      </c>
      <c r="G95" s="13">
        <f t="shared" si="0"/>
        <v>0</v>
      </c>
      <c r="H95" s="15"/>
      <c r="I95" s="15"/>
      <c r="J95" s="15"/>
      <c r="K95" s="15"/>
      <c r="L95" s="61"/>
      <c r="M95" s="49"/>
      <c r="P95" s="67">
        <v>620</v>
      </c>
    </row>
    <row r="96" spans="3:16" s="60" customFormat="1" ht="12.75" x14ac:dyDescent="0.2">
      <c r="C96" s="9"/>
      <c r="D96" s="99" t="s">
        <v>168</v>
      </c>
      <c r="E96" s="100"/>
      <c r="F96" s="100"/>
      <c r="G96" s="100"/>
      <c r="H96" s="100"/>
      <c r="I96" s="100"/>
      <c r="J96" s="100"/>
      <c r="K96" s="101"/>
      <c r="L96" s="61"/>
      <c r="M96" s="49"/>
      <c r="P96" s="68"/>
    </row>
    <row r="97" spans="3:16" s="60" customFormat="1" ht="12.75" x14ac:dyDescent="0.2">
      <c r="C97" s="9"/>
      <c r="D97" s="10" t="s">
        <v>169</v>
      </c>
      <c r="E97" s="11" t="s">
        <v>170</v>
      </c>
      <c r="F97" s="12" t="s">
        <v>171</v>
      </c>
      <c r="G97" s="13">
        <f t="shared" si="0"/>
        <v>0</v>
      </c>
      <c r="H97" s="13">
        <f>SUM(H98:H99)</f>
        <v>0</v>
      </c>
      <c r="I97" s="13">
        <f>SUM(I98:I99)</f>
        <v>0</v>
      </c>
      <c r="J97" s="13">
        <f>SUM(J98:J99)</f>
        <v>0</v>
      </c>
      <c r="K97" s="13">
        <f>SUM(K98:K99)</f>
        <v>0</v>
      </c>
      <c r="L97" s="61"/>
      <c r="M97" s="49"/>
      <c r="P97" s="67">
        <v>700</v>
      </c>
    </row>
    <row r="98" spans="3:16" ht="12.75" x14ac:dyDescent="0.2">
      <c r="C98" s="5"/>
      <c r="D98" s="39" t="s">
        <v>172</v>
      </c>
      <c r="E98" s="14" t="s">
        <v>173</v>
      </c>
      <c r="F98" s="12" t="s">
        <v>174</v>
      </c>
      <c r="G98" s="13">
        <f t="shared" si="0"/>
        <v>0</v>
      </c>
      <c r="H98" s="40"/>
      <c r="I98" s="40"/>
      <c r="J98" s="40"/>
      <c r="K98" s="40"/>
      <c r="L98" s="59"/>
      <c r="M98" s="49"/>
      <c r="P98" s="67">
        <v>710</v>
      </c>
    </row>
    <row r="99" spans="3:16" ht="12.75" x14ac:dyDescent="0.2">
      <c r="C99" s="5"/>
      <c r="D99" s="39" t="s">
        <v>175</v>
      </c>
      <c r="E99" s="14" t="s">
        <v>176</v>
      </c>
      <c r="F99" s="12" t="s">
        <v>177</v>
      </c>
      <c r="G99" s="13">
        <f t="shared" si="0"/>
        <v>0</v>
      </c>
      <c r="H99" s="41">
        <f>H102</f>
        <v>0</v>
      </c>
      <c r="I99" s="41">
        <f>I102</f>
        <v>0</v>
      </c>
      <c r="J99" s="41">
        <f>J102</f>
        <v>0</v>
      </c>
      <c r="K99" s="41">
        <f>K102</f>
        <v>0</v>
      </c>
      <c r="L99" s="59"/>
      <c r="M99" s="49"/>
      <c r="P99" s="67">
        <v>720</v>
      </c>
    </row>
    <row r="100" spans="3:16" ht="12.75" x14ac:dyDescent="0.2">
      <c r="C100" s="5"/>
      <c r="D100" s="39" t="s">
        <v>178</v>
      </c>
      <c r="E100" s="34" t="s">
        <v>179</v>
      </c>
      <c r="F100" s="12" t="s">
        <v>180</v>
      </c>
      <c r="G100" s="13">
        <f t="shared" si="0"/>
        <v>0</v>
      </c>
      <c r="H100" s="40"/>
      <c r="I100" s="40"/>
      <c r="J100" s="40"/>
      <c r="K100" s="40"/>
      <c r="L100" s="59"/>
      <c r="M100" s="49"/>
      <c r="P100" s="67">
        <v>730</v>
      </c>
    </row>
    <row r="101" spans="3:16" ht="12.75" x14ac:dyDescent="0.2">
      <c r="C101" s="5"/>
      <c r="D101" s="39" t="s">
        <v>181</v>
      </c>
      <c r="E101" s="35" t="s">
        <v>182</v>
      </c>
      <c r="F101" s="12" t="s">
        <v>183</v>
      </c>
      <c r="G101" s="13">
        <f t="shared" si="0"/>
        <v>0</v>
      </c>
      <c r="H101" s="40"/>
      <c r="I101" s="40"/>
      <c r="J101" s="40"/>
      <c r="K101" s="40"/>
      <c r="L101" s="59"/>
      <c r="M101" s="49"/>
      <c r="P101" s="67"/>
    </row>
    <row r="102" spans="3:16" ht="12.75" x14ac:dyDescent="0.2">
      <c r="C102" s="5"/>
      <c r="D102" s="39" t="s">
        <v>184</v>
      </c>
      <c r="E102" s="34" t="s">
        <v>185</v>
      </c>
      <c r="F102" s="12" t="s">
        <v>186</v>
      </c>
      <c r="G102" s="13">
        <f t="shared" si="0"/>
        <v>0</v>
      </c>
      <c r="H102" s="40"/>
      <c r="I102" s="40"/>
      <c r="J102" s="40"/>
      <c r="K102" s="40"/>
      <c r="L102" s="59"/>
      <c r="M102" s="49"/>
      <c r="P102" s="67">
        <v>740</v>
      </c>
    </row>
    <row r="103" spans="3:16" ht="12.75" x14ac:dyDescent="0.2">
      <c r="C103" s="5"/>
      <c r="D103" s="39" t="s">
        <v>187</v>
      </c>
      <c r="E103" s="11" t="s">
        <v>188</v>
      </c>
      <c r="F103" s="12" t="s">
        <v>189</v>
      </c>
      <c r="G103" s="13">
        <f t="shared" si="0"/>
        <v>0</v>
      </c>
      <c r="H103" s="41">
        <f>H104+H120</f>
        <v>0</v>
      </c>
      <c r="I103" s="41">
        <f>I104+I120</f>
        <v>0</v>
      </c>
      <c r="J103" s="41">
        <f>J104+J120</f>
        <v>0</v>
      </c>
      <c r="K103" s="41">
        <f>K104+K120</f>
        <v>0</v>
      </c>
      <c r="L103" s="59"/>
      <c r="M103" s="49"/>
      <c r="P103" s="67">
        <v>750</v>
      </c>
    </row>
    <row r="104" spans="3:16" ht="12.75" x14ac:dyDescent="0.2">
      <c r="C104" s="5"/>
      <c r="D104" s="39" t="s">
        <v>190</v>
      </c>
      <c r="E104" s="14" t="s">
        <v>191</v>
      </c>
      <c r="F104" s="12" t="s">
        <v>192</v>
      </c>
      <c r="G104" s="13">
        <f t="shared" si="0"/>
        <v>0</v>
      </c>
      <c r="H104" s="41">
        <f>H105+H106</f>
        <v>0</v>
      </c>
      <c r="I104" s="41">
        <f>I105+I106</f>
        <v>0</v>
      </c>
      <c r="J104" s="41">
        <f>J105+J106</f>
        <v>0</v>
      </c>
      <c r="K104" s="41">
        <f>K105+K106</f>
        <v>0</v>
      </c>
      <c r="L104" s="59"/>
      <c r="M104" s="49"/>
      <c r="P104" s="67">
        <v>760</v>
      </c>
    </row>
    <row r="105" spans="3:16" ht="12.75" x14ac:dyDescent="0.2">
      <c r="C105" s="5"/>
      <c r="D105" s="39" t="s">
        <v>193</v>
      </c>
      <c r="E105" s="34" t="s">
        <v>194</v>
      </c>
      <c r="F105" s="12" t="s">
        <v>195</v>
      </c>
      <c r="G105" s="13">
        <f t="shared" si="0"/>
        <v>0</v>
      </c>
      <c r="H105" s="40"/>
      <c r="I105" s="40"/>
      <c r="J105" s="40"/>
      <c r="K105" s="40"/>
      <c r="L105" s="59"/>
      <c r="M105" s="49"/>
      <c r="P105" s="67"/>
    </row>
    <row r="106" spans="3:16" ht="12.75" x14ac:dyDescent="0.2">
      <c r="C106" s="5"/>
      <c r="D106" s="39" t="s">
        <v>196</v>
      </c>
      <c r="E106" s="34" t="s">
        <v>197</v>
      </c>
      <c r="F106" s="12" t="s">
        <v>198</v>
      </c>
      <c r="G106" s="13">
        <f t="shared" si="0"/>
        <v>0</v>
      </c>
      <c r="H106" s="41">
        <f>H107+H110+H113+H116+H117+H118+H119</f>
        <v>0</v>
      </c>
      <c r="I106" s="41">
        <f>I107+I110+I113+I116+I117+I118+I119</f>
        <v>0</v>
      </c>
      <c r="J106" s="41">
        <f>J107+J110+J113+J116+J117+J118+J119</f>
        <v>0</v>
      </c>
      <c r="K106" s="41">
        <f>K107+K110+K113+K116+K117+K118+K119</f>
        <v>0</v>
      </c>
      <c r="L106" s="59"/>
      <c r="M106" s="49"/>
      <c r="P106" s="67"/>
    </row>
    <row r="107" spans="3:16" ht="45" x14ac:dyDescent="0.2">
      <c r="C107" s="5"/>
      <c r="D107" s="39" t="s">
        <v>199</v>
      </c>
      <c r="E107" s="35" t="s">
        <v>200</v>
      </c>
      <c r="F107" s="12" t="s">
        <v>201</v>
      </c>
      <c r="G107" s="13">
        <f t="shared" si="0"/>
        <v>0</v>
      </c>
      <c r="H107" s="42">
        <f>H108+H109</f>
        <v>0</v>
      </c>
      <c r="I107" s="42">
        <f>I108+I109</f>
        <v>0</v>
      </c>
      <c r="J107" s="42">
        <f>J108+J109</f>
        <v>0</v>
      </c>
      <c r="K107" s="42">
        <f>K108+K109</f>
        <v>0</v>
      </c>
      <c r="L107" s="59"/>
      <c r="M107" s="49"/>
      <c r="P107" s="67"/>
    </row>
    <row r="108" spans="3:16" ht="12.75" x14ac:dyDescent="0.2">
      <c r="C108" s="5"/>
      <c r="D108" s="39" t="s">
        <v>202</v>
      </c>
      <c r="E108" s="43" t="s">
        <v>203</v>
      </c>
      <c r="F108" s="12" t="s">
        <v>204</v>
      </c>
      <c r="G108" s="13">
        <f t="shared" si="0"/>
        <v>0</v>
      </c>
      <c r="H108" s="40"/>
      <c r="I108" s="40"/>
      <c r="J108" s="40"/>
      <c r="K108" s="40"/>
      <c r="L108" s="59"/>
      <c r="M108" s="49"/>
      <c r="P108" s="67"/>
    </row>
    <row r="109" spans="3:16" ht="12.75" x14ac:dyDescent="0.2">
      <c r="C109" s="5"/>
      <c r="D109" s="39" t="s">
        <v>205</v>
      </c>
      <c r="E109" s="43" t="s">
        <v>206</v>
      </c>
      <c r="F109" s="12" t="s">
        <v>207</v>
      </c>
      <c r="G109" s="13">
        <f t="shared" si="0"/>
        <v>0</v>
      </c>
      <c r="H109" s="40"/>
      <c r="I109" s="40"/>
      <c r="J109" s="40"/>
      <c r="K109" s="40"/>
      <c r="L109" s="59"/>
      <c r="M109" s="49"/>
      <c r="P109" s="67"/>
    </row>
    <row r="110" spans="3:16" ht="45" x14ac:dyDescent="0.2">
      <c r="C110" s="5"/>
      <c r="D110" s="39" t="s">
        <v>208</v>
      </c>
      <c r="E110" s="35" t="s">
        <v>209</v>
      </c>
      <c r="F110" s="12" t="s">
        <v>210</v>
      </c>
      <c r="G110" s="13">
        <f t="shared" si="0"/>
        <v>0</v>
      </c>
      <c r="H110" s="42">
        <f>H111+H112</f>
        <v>0</v>
      </c>
      <c r="I110" s="42">
        <f>I111+I112</f>
        <v>0</v>
      </c>
      <c r="J110" s="42">
        <f>J111+J112</f>
        <v>0</v>
      </c>
      <c r="K110" s="42">
        <f>K111+K112</f>
        <v>0</v>
      </c>
      <c r="L110" s="59"/>
      <c r="M110" s="49"/>
      <c r="P110" s="67"/>
    </row>
    <row r="111" spans="3:16" ht="12.75" x14ac:dyDescent="0.2">
      <c r="C111" s="5"/>
      <c r="D111" s="39" t="s">
        <v>211</v>
      </c>
      <c r="E111" s="43" t="s">
        <v>203</v>
      </c>
      <c r="F111" s="12" t="s">
        <v>212</v>
      </c>
      <c r="G111" s="13">
        <f t="shared" si="0"/>
        <v>0</v>
      </c>
      <c r="H111" s="40"/>
      <c r="I111" s="40"/>
      <c r="J111" s="40"/>
      <c r="K111" s="40"/>
      <c r="L111" s="59"/>
      <c r="M111" s="49"/>
      <c r="P111" s="67"/>
    </row>
    <row r="112" spans="3:16" ht="12.75" x14ac:dyDescent="0.2">
      <c r="C112" s="5"/>
      <c r="D112" s="39" t="s">
        <v>213</v>
      </c>
      <c r="E112" s="43" t="s">
        <v>206</v>
      </c>
      <c r="F112" s="12" t="s">
        <v>214</v>
      </c>
      <c r="G112" s="13">
        <f t="shared" si="0"/>
        <v>0</v>
      </c>
      <c r="H112" s="40"/>
      <c r="I112" s="40"/>
      <c r="J112" s="40"/>
      <c r="K112" s="40"/>
      <c r="L112" s="59"/>
      <c r="M112" s="49"/>
      <c r="P112" s="67"/>
    </row>
    <row r="113" spans="3:16" ht="22.5" x14ac:dyDescent="0.2">
      <c r="C113" s="5"/>
      <c r="D113" s="39" t="s">
        <v>215</v>
      </c>
      <c r="E113" s="35" t="s">
        <v>216</v>
      </c>
      <c r="F113" s="12" t="s">
        <v>217</v>
      </c>
      <c r="G113" s="13">
        <f t="shared" si="0"/>
        <v>0</v>
      </c>
      <c r="H113" s="42">
        <f>H114+H115</f>
        <v>0</v>
      </c>
      <c r="I113" s="42">
        <f>I114+I115</f>
        <v>0</v>
      </c>
      <c r="J113" s="42">
        <f>J114+J115</f>
        <v>0</v>
      </c>
      <c r="K113" s="42">
        <f>K114+K115</f>
        <v>0</v>
      </c>
      <c r="L113" s="59"/>
      <c r="M113" s="49"/>
      <c r="P113" s="67"/>
    </row>
    <row r="114" spans="3:16" ht="12.75" x14ac:dyDescent="0.2">
      <c r="C114" s="5"/>
      <c r="D114" s="39" t="s">
        <v>218</v>
      </c>
      <c r="E114" s="43" t="s">
        <v>203</v>
      </c>
      <c r="F114" s="12" t="s">
        <v>219</v>
      </c>
      <c r="G114" s="13">
        <f t="shared" si="0"/>
        <v>0</v>
      </c>
      <c r="H114" s="40"/>
      <c r="I114" s="40"/>
      <c r="J114" s="40"/>
      <c r="K114" s="40"/>
      <c r="L114" s="59"/>
      <c r="M114" s="49"/>
      <c r="P114" s="67"/>
    </row>
    <row r="115" spans="3:16" ht="12.75" x14ac:dyDescent="0.2">
      <c r="C115" s="5"/>
      <c r="D115" s="39" t="s">
        <v>220</v>
      </c>
      <c r="E115" s="43" t="s">
        <v>206</v>
      </c>
      <c r="F115" s="12" t="s">
        <v>221</v>
      </c>
      <c r="G115" s="13">
        <f t="shared" si="0"/>
        <v>0</v>
      </c>
      <c r="H115" s="40"/>
      <c r="I115" s="40"/>
      <c r="J115" s="40"/>
      <c r="K115" s="40"/>
      <c r="L115" s="59"/>
      <c r="M115" s="49"/>
      <c r="P115" s="67"/>
    </row>
    <row r="116" spans="3:16" ht="22.5" x14ac:dyDescent="0.2">
      <c r="C116" s="5"/>
      <c r="D116" s="39" t="s">
        <v>222</v>
      </c>
      <c r="E116" s="35" t="s">
        <v>223</v>
      </c>
      <c r="F116" s="12" t="s">
        <v>224</v>
      </c>
      <c r="G116" s="13">
        <f t="shared" si="0"/>
        <v>0</v>
      </c>
      <c r="H116" s="40"/>
      <c r="I116" s="40"/>
      <c r="J116" s="40"/>
      <c r="K116" s="40"/>
      <c r="L116" s="59"/>
      <c r="M116" s="49"/>
      <c r="P116" s="67"/>
    </row>
    <row r="117" spans="3:16" ht="12.75" x14ac:dyDescent="0.2">
      <c r="C117" s="5"/>
      <c r="D117" s="39" t="s">
        <v>225</v>
      </c>
      <c r="E117" s="35" t="s">
        <v>226</v>
      </c>
      <c r="F117" s="12" t="s">
        <v>227</v>
      </c>
      <c r="G117" s="13">
        <f t="shared" si="0"/>
        <v>0</v>
      </c>
      <c r="H117" s="40"/>
      <c r="I117" s="40"/>
      <c r="J117" s="40"/>
      <c r="K117" s="40"/>
      <c r="L117" s="59"/>
      <c r="M117" s="49"/>
      <c r="P117" s="67"/>
    </row>
    <row r="118" spans="3:16" ht="45" x14ac:dyDescent="0.2">
      <c r="C118" s="5"/>
      <c r="D118" s="39" t="s">
        <v>228</v>
      </c>
      <c r="E118" s="35" t="s">
        <v>229</v>
      </c>
      <c r="F118" s="12" t="s">
        <v>230</v>
      </c>
      <c r="G118" s="13">
        <f t="shared" si="0"/>
        <v>0</v>
      </c>
      <c r="H118" s="40"/>
      <c r="I118" s="40"/>
      <c r="J118" s="40"/>
      <c r="K118" s="40"/>
      <c r="L118" s="59"/>
      <c r="M118" s="49"/>
      <c r="P118" s="67"/>
    </row>
    <row r="119" spans="3:16" ht="22.5" x14ac:dyDescent="0.2">
      <c r="C119" s="5"/>
      <c r="D119" s="39" t="s">
        <v>231</v>
      </c>
      <c r="E119" s="35" t="s">
        <v>232</v>
      </c>
      <c r="F119" s="12" t="s">
        <v>233</v>
      </c>
      <c r="G119" s="13">
        <f t="shared" si="0"/>
        <v>0</v>
      </c>
      <c r="H119" s="40"/>
      <c r="I119" s="40"/>
      <c r="J119" s="40"/>
      <c r="K119" s="40"/>
      <c r="L119" s="59"/>
      <c r="M119" s="49"/>
      <c r="P119" s="67"/>
    </row>
    <row r="120" spans="3:16" ht="12.75" x14ac:dyDescent="0.2">
      <c r="C120" s="5"/>
      <c r="D120" s="39" t="s">
        <v>234</v>
      </c>
      <c r="E120" s="14" t="s">
        <v>235</v>
      </c>
      <c r="F120" s="12" t="s">
        <v>236</v>
      </c>
      <c r="G120" s="13">
        <f t="shared" si="0"/>
        <v>0</v>
      </c>
      <c r="H120" s="41">
        <f>H123</f>
        <v>0</v>
      </c>
      <c r="I120" s="41">
        <f>I123</f>
        <v>0</v>
      </c>
      <c r="J120" s="41">
        <f>J123</f>
        <v>0</v>
      </c>
      <c r="K120" s="41">
        <f>K123</f>
        <v>0</v>
      </c>
      <c r="L120" s="59"/>
      <c r="M120" s="49"/>
      <c r="P120" s="67">
        <v>770</v>
      </c>
    </row>
    <row r="121" spans="3:16" ht="12.75" x14ac:dyDescent="0.2">
      <c r="C121" s="5"/>
      <c r="D121" s="39" t="s">
        <v>237</v>
      </c>
      <c r="E121" s="34" t="s">
        <v>179</v>
      </c>
      <c r="F121" s="12" t="s">
        <v>238</v>
      </c>
      <c r="G121" s="13">
        <f t="shared" si="0"/>
        <v>0</v>
      </c>
      <c r="H121" s="40"/>
      <c r="I121" s="40"/>
      <c r="J121" s="40"/>
      <c r="K121" s="40"/>
      <c r="L121" s="59"/>
      <c r="M121" s="49"/>
      <c r="P121" s="67">
        <v>780</v>
      </c>
    </row>
    <row r="122" spans="3:16" ht="12.75" x14ac:dyDescent="0.2">
      <c r="C122" s="5"/>
      <c r="D122" s="39" t="s">
        <v>239</v>
      </c>
      <c r="E122" s="35" t="s">
        <v>240</v>
      </c>
      <c r="F122" s="12" t="s">
        <v>241</v>
      </c>
      <c r="G122" s="13">
        <f t="shared" si="0"/>
        <v>0</v>
      </c>
      <c r="H122" s="40"/>
      <c r="I122" s="40"/>
      <c r="J122" s="40"/>
      <c r="K122" s="40"/>
      <c r="L122" s="59"/>
      <c r="M122" s="49"/>
      <c r="P122" s="67"/>
    </row>
    <row r="123" spans="3:16" ht="12.75" x14ac:dyDescent="0.2">
      <c r="C123" s="5"/>
      <c r="D123" s="39" t="s">
        <v>242</v>
      </c>
      <c r="E123" s="34" t="s">
        <v>185</v>
      </c>
      <c r="F123" s="12" t="s">
        <v>243</v>
      </c>
      <c r="G123" s="13">
        <f t="shared" si="0"/>
        <v>0</v>
      </c>
      <c r="H123" s="40"/>
      <c r="I123" s="40"/>
      <c r="J123" s="40"/>
      <c r="K123" s="40"/>
      <c r="L123" s="59"/>
      <c r="M123" s="49"/>
      <c r="P123" s="67">
        <v>790</v>
      </c>
    </row>
    <row r="124" spans="3:16" ht="22.5" x14ac:dyDescent="0.2">
      <c r="C124" s="5"/>
      <c r="D124" s="39" t="s">
        <v>244</v>
      </c>
      <c r="E124" s="32" t="s">
        <v>245</v>
      </c>
      <c r="F124" s="12" t="s">
        <v>246</v>
      </c>
      <c r="G124" s="13">
        <f t="shared" si="0"/>
        <v>7098.7780000000002</v>
      </c>
      <c r="H124" s="41">
        <f>SUM(H125:H126)</f>
        <v>5.3999999999999999E-2</v>
      </c>
      <c r="I124" s="41">
        <f>SUM(I125:I126)</f>
        <v>4647.9470000000001</v>
      </c>
      <c r="J124" s="41">
        <f>SUM(J125:J126)</f>
        <v>1556.6769999999999</v>
      </c>
      <c r="K124" s="41">
        <f>SUM(K125:K126)</f>
        <v>894.1</v>
      </c>
      <c r="L124" s="59"/>
      <c r="M124" s="49"/>
      <c r="P124" s="67"/>
    </row>
    <row r="125" spans="3:16" ht="12.75" x14ac:dyDescent="0.2">
      <c r="C125" s="5"/>
      <c r="D125" s="39" t="s">
        <v>247</v>
      </c>
      <c r="E125" s="14" t="s">
        <v>173</v>
      </c>
      <c r="F125" s="12" t="s">
        <v>248</v>
      </c>
      <c r="G125" s="13">
        <f t="shared" si="0"/>
        <v>0</v>
      </c>
      <c r="H125" s="40"/>
      <c r="I125" s="40"/>
      <c r="J125" s="40"/>
      <c r="K125" s="40"/>
      <c r="L125" s="59"/>
      <c r="M125" s="49"/>
      <c r="P125" s="67"/>
    </row>
    <row r="126" spans="3:16" ht="12.75" x14ac:dyDescent="0.2">
      <c r="C126" s="5"/>
      <c r="D126" s="39" t="s">
        <v>249</v>
      </c>
      <c r="E126" s="14" t="s">
        <v>176</v>
      </c>
      <c r="F126" s="12" t="s">
        <v>250</v>
      </c>
      <c r="G126" s="13">
        <f t="shared" si="0"/>
        <v>7098.7780000000002</v>
      </c>
      <c r="H126" s="41">
        <f>H128</f>
        <v>5.3999999999999999E-2</v>
      </c>
      <c r="I126" s="41">
        <f>I128</f>
        <v>4647.9470000000001</v>
      </c>
      <c r="J126" s="41">
        <f>J128</f>
        <v>1556.6769999999999</v>
      </c>
      <c r="K126" s="41">
        <f>K128</f>
        <v>894.1</v>
      </c>
      <c r="L126" s="59"/>
      <c r="M126" s="49"/>
      <c r="P126" s="67"/>
    </row>
    <row r="127" spans="3:16" ht="12.75" x14ac:dyDescent="0.2">
      <c r="C127" s="5"/>
      <c r="D127" s="39" t="s">
        <v>251</v>
      </c>
      <c r="E127" s="34" t="s">
        <v>252</v>
      </c>
      <c r="F127" s="12" t="s">
        <v>253</v>
      </c>
      <c r="G127" s="13">
        <f t="shared" si="0"/>
        <v>44.622999999999998</v>
      </c>
      <c r="H127" s="40"/>
      <c r="I127" s="40">
        <f>I94</f>
        <v>44.622999999999998</v>
      </c>
      <c r="J127" s="40"/>
      <c r="K127" s="40"/>
      <c r="L127" s="59"/>
      <c r="M127" s="49"/>
      <c r="P127" s="67"/>
    </row>
    <row r="128" spans="3:16" ht="12.75" x14ac:dyDescent="0.2">
      <c r="C128" s="5"/>
      <c r="D128" s="39" t="s">
        <v>254</v>
      </c>
      <c r="E128" s="34" t="s">
        <v>185</v>
      </c>
      <c r="F128" s="12" t="s">
        <v>255</v>
      </c>
      <c r="G128" s="13">
        <f t="shared" si="0"/>
        <v>7098.7780000000002</v>
      </c>
      <c r="H128" s="40">
        <f>H48+H34</f>
        <v>5.3999999999999999E-2</v>
      </c>
      <c r="I128" s="40">
        <f>I34+200.29</f>
        <v>4647.9470000000001</v>
      </c>
      <c r="J128" s="40">
        <f>J34+4.07</f>
        <v>1556.6769999999999</v>
      </c>
      <c r="K128" s="40">
        <f>K34</f>
        <v>894.1</v>
      </c>
      <c r="L128" s="59"/>
      <c r="M128" s="49"/>
      <c r="P128" s="67"/>
    </row>
    <row r="129" spans="3:16" ht="12.75" x14ac:dyDescent="0.2">
      <c r="C129" s="5"/>
      <c r="D129" s="99" t="s">
        <v>256</v>
      </c>
      <c r="E129" s="100"/>
      <c r="F129" s="100"/>
      <c r="G129" s="100"/>
      <c r="H129" s="100"/>
      <c r="I129" s="100"/>
      <c r="J129" s="100"/>
      <c r="K129" s="101"/>
      <c r="L129" s="59"/>
      <c r="M129" s="49"/>
      <c r="P129" s="71"/>
    </row>
    <row r="130" spans="3:16" ht="22.5" x14ac:dyDescent="0.2">
      <c r="C130" s="5"/>
      <c r="D130" s="39" t="s">
        <v>257</v>
      </c>
      <c r="E130" s="11" t="s">
        <v>258</v>
      </c>
      <c r="F130" s="12" t="s">
        <v>259</v>
      </c>
      <c r="G130" s="13">
        <f t="shared" si="0"/>
        <v>0</v>
      </c>
      <c r="H130" s="41">
        <f>SUM( H131:H132)</f>
        <v>0</v>
      </c>
      <c r="I130" s="41">
        <f>SUM( I131:I132)</f>
        <v>0</v>
      </c>
      <c r="J130" s="41">
        <f>SUM( J131:J132)</f>
        <v>0</v>
      </c>
      <c r="K130" s="41">
        <f>SUM( K131:K132)</f>
        <v>0</v>
      </c>
      <c r="L130" s="59"/>
      <c r="M130" s="49"/>
      <c r="P130" s="67">
        <v>800</v>
      </c>
    </row>
    <row r="131" spans="3:16" ht="12.75" x14ac:dyDescent="0.2">
      <c r="C131" s="5"/>
      <c r="D131" s="39" t="s">
        <v>260</v>
      </c>
      <c r="E131" s="14" t="s">
        <v>173</v>
      </c>
      <c r="F131" s="12" t="s">
        <v>261</v>
      </c>
      <c r="G131" s="13">
        <f t="shared" si="0"/>
        <v>0</v>
      </c>
      <c r="H131" s="40"/>
      <c r="I131" s="40"/>
      <c r="J131" s="40"/>
      <c r="K131" s="40"/>
      <c r="L131" s="59"/>
      <c r="M131" s="49"/>
      <c r="P131" s="67">
        <v>810</v>
      </c>
    </row>
    <row r="132" spans="3:16" ht="12.75" x14ac:dyDescent="0.2">
      <c r="C132" s="5"/>
      <c r="D132" s="39" t="s">
        <v>262</v>
      </c>
      <c r="E132" s="14" t="s">
        <v>176</v>
      </c>
      <c r="F132" s="12" t="s">
        <v>263</v>
      </c>
      <c r="G132" s="13">
        <f t="shared" si="0"/>
        <v>0</v>
      </c>
      <c r="H132" s="41">
        <f>H133+H135</f>
        <v>0</v>
      </c>
      <c r="I132" s="41">
        <f>I133+I135</f>
        <v>0</v>
      </c>
      <c r="J132" s="41">
        <f>J133+J135</f>
        <v>0</v>
      </c>
      <c r="K132" s="41">
        <f>K133+K135</f>
        <v>0</v>
      </c>
      <c r="L132" s="59"/>
      <c r="M132" s="49"/>
      <c r="P132" s="67">
        <v>820</v>
      </c>
    </row>
    <row r="133" spans="3:16" ht="12.75" x14ac:dyDescent="0.2">
      <c r="C133" s="5"/>
      <c r="D133" s="39" t="s">
        <v>264</v>
      </c>
      <c r="E133" s="34" t="s">
        <v>265</v>
      </c>
      <c r="F133" s="12" t="s">
        <v>266</v>
      </c>
      <c r="G133" s="13">
        <f t="shared" si="0"/>
        <v>0</v>
      </c>
      <c r="H133" s="40"/>
      <c r="I133" s="40"/>
      <c r="J133" s="40"/>
      <c r="K133" s="40"/>
      <c r="L133" s="59"/>
      <c r="M133" s="49"/>
      <c r="P133" s="67">
        <v>830</v>
      </c>
    </row>
    <row r="134" spans="3:16" ht="12.75" x14ac:dyDescent="0.2">
      <c r="C134" s="5"/>
      <c r="D134" s="39" t="s">
        <v>267</v>
      </c>
      <c r="E134" s="35" t="s">
        <v>268</v>
      </c>
      <c r="F134" s="12" t="s">
        <v>269</v>
      </c>
      <c r="G134" s="13">
        <f t="shared" si="0"/>
        <v>0</v>
      </c>
      <c r="H134" s="40"/>
      <c r="I134" s="40"/>
      <c r="J134" s="40"/>
      <c r="K134" s="40"/>
      <c r="L134" s="59"/>
      <c r="M134" s="49"/>
      <c r="P134" s="71"/>
    </row>
    <row r="135" spans="3:16" ht="12.75" x14ac:dyDescent="0.2">
      <c r="C135" s="5"/>
      <c r="D135" s="39" t="s">
        <v>270</v>
      </c>
      <c r="E135" s="34" t="s">
        <v>271</v>
      </c>
      <c r="F135" s="12" t="s">
        <v>272</v>
      </c>
      <c r="G135" s="13">
        <f t="shared" si="0"/>
        <v>0</v>
      </c>
      <c r="H135" s="40"/>
      <c r="I135" s="40"/>
      <c r="J135" s="40"/>
      <c r="K135" s="40"/>
      <c r="L135" s="59"/>
      <c r="M135" s="49"/>
      <c r="P135" s="67">
        <v>840</v>
      </c>
    </row>
    <row r="136" spans="3:16" ht="12.75" x14ac:dyDescent="0.2">
      <c r="C136" s="5"/>
      <c r="D136" s="39" t="s">
        <v>19</v>
      </c>
      <c r="E136" s="11" t="s">
        <v>273</v>
      </c>
      <c r="F136" s="12" t="s">
        <v>274</v>
      </c>
      <c r="G136" s="13">
        <f t="shared" si="0"/>
        <v>0</v>
      </c>
      <c r="H136" s="42">
        <f>SUM( H137+H142)</f>
        <v>0</v>
      </c>
      <c r="I136" s="42">
        <f>SUM( I137+I142)</f>
        <v>0</v>
      </c>
      <c r="J136" s="42">
        <f>SUM( J137+J142)</f>
        <v>0</v>
      </c>
      <c r="K136" s="42">
        <f>SUM( K137+K142)</f>
        <v>0</v>
      </c>
      <c r="L136" s="62"/>
      <c r="M136" s="49"/>
      <c r="P136" s="67">
        <v>850</v>
      </c>
    </row>
    <row r="137" spans="3:16" ht="12.75" x14ac:dyDescent="0.2">
      <c r="C137" s="5"/>
      <c r="D137" s="39" t="s">
        <v>275</v>
      </c>
      <c r="E137" s="14" t="s">
        <v>173</v>
      </c>
      <c r="F137" s="12" t="s">
        <v>276</v>
      </c>
      <c r="G137" s="13">
        <f t="shared" ref="G137:G150" si="1">SUM(H137:K137)</f>
        <v>0</v>
      </c>
      <c r="H137" s="42">
        <f>SUM( H138:H139)</f>
        <v>0</v>
      </c>
      <c r="I137" s="42">
        <f>SUM( I138:I139)</f>
        <v>0</v>
      </c>
      <c r="J137" s="42">
        <f>SUM( J138:J139)</f>
        <v>0</v>
      </c>
      <c r="K137" s="42">
        <f>SUM( K138:K139)</f>
        <v>0</v>
      </c>
      <c r="L137" s="62"/>
      <c r="M137" s="49"/>
      <c r="P137" s="67">
        <v>860</v>
      </c>
    </row>
    <row r="138" spans="3:16" ht="12.75" x14ac:dyDescent="0.2">
      <c r="C138" s="5"/>
      <c r="D138" s="39" t="s">
        <v>277</v>
      </c>
      <c r="E138" s="34" t="s">
        <v>194</v>
      </c>
      <c r="F138" s="12" t="s">
        <v>278</v>
      </c>
      <c r="G138" s="13">
        <f t="shared" si="1"/>
        <v>0</v>
      </c>
      <c r="H138" s="44"/>
      <c r="I138" s="44"/>
      <c r="J138" s="44"/>
      <c r="K138" s="44"/>
      <c r="L138" s="62"/>
      <c r="M138" s="49"/>
      <c r="P138" s="67"/>
    </row>
    <row r="139" spans="3:16" ht="12.75" x14ac:dyDescent="0.2">
      <c r="C139" s="5"/>
      <c r="D139" s="39" t="s">
        <v>279</v>
      </c>
      <c r="E139" s="34" t="s">
        <v>197</v>
      </c>
      <c r="F139" s="12" t="s">
        <v>280</v>
      </c>
      <c r="G139" s="13">
        <f t="shared" si="1"/>
        <v>0</v>
      </c>
      <c r="H139" s="42">
        <f>H140+H141</f>
        <v>0</v>
      </c>
      <c r="I139" s="42">
        <f>I140+I141</f>
        <v>0</v>
      </c>
      <c r="J139" s="42">
        <f>J140+J141</f>
        <v>0</v>
      </c>
      <c r="K139" s="42">
        <f>K140+K141</f>
        <v>0</v>
      </c>
      <c r="L139" s="62"/>
      <c r="M139" s="49"/>
      <c r="P139" s="67"/>
    </row>
    <row r="140" spans="3:16" ht="12.75" x14ac:dyDescent="0.2">
      <c r="C140" s="5"/>
      <c r="D140" s="39" t="s">
        <v>281</v>
      </c>
      <c r="E140" s="35" t="s">
        <v>203</v>
      </c>
      <c r="F140" s="12" t="s">
        <v>282</v>
      </c>
      <c r="G140" s="13">
        <f t="shared" si="1"/>
        <v>0</v>
      </c>
      <c r="H140" s="44"/>
      <c r="I140" s="44"/>
      <c r="J140" s="44"/>
      <c r="K140" s="44"/>
      <c r="L140" s="62"/>
      <c r="M140" s="49"/>
      <c r="P140" s="67"/>
    </row>
    <row r="141" spans="3:16" ht="12.75" x14ac:dyDescent="0.2">
      <c r="C141" s="5"/>
      <c r="D141" s="39" t="s">
        <v>283</v>
      </c>
      <c r="E141" s="35" t="s">
        <v>284</v>
      </c>
      <c r="F141" s="12" t="s">
        <v>285</v>
      </c>
      <c r="G141" s="13">
        <f t="shared" si="1"/>
        <v>0</v>
      </c>
      <c r="H141" s="44"/>
      <c r="I141" s="44"/>
      <c r="J141" s="44"/>
      <c r="K141" s="44"/>
      <c r="L141" s="62"/>
      <c r="M141" s="49"/>
      <c r="P141" s="67"/>
    </row>
    <row r="142" spans="3:16" ht="12.75" x14ac:dyDescent="0.2">
      <c r="C142" s="5"/>
      <c r="D142" s="39" t="s">
        <v>286</v>
      </c>
      <c r="E142" s="14" t="s">
        <v>235</v>
      </c>
      <c r="F142" s="12" t="s">
        <v>287</v>
      </c>
      <c r="G142" s="13">
        <f t="shared" si="1"/>
        <v>0</v>
      </c>
      <c r="H142" s="42">
        <f>H143+H145</f>
        <v>0</v>
      </c>
      <c r="I142" s="42">
        <f>I143+I145</f>
        <v>0</v>
      </c>
      <c r="J142" s="42">
        <f>J143+J145</f>
        <v>0</v>
      </c>
      <c r="K142" s="42">
        <f>K143+K145</f>
        <v>0</v>
      </c>
      <c r="L142" s="62"/>
      <c r="M142" s="49"/>
      <c r="P142" s="67">
        <v>870</v>
      </c>
    </row>
    <row r="143" spans="3:16" ht="12.75" x14ac:dyDescent="0.2">
      <c r="C143" s="5"/>
      <c r="D143" s="39" t="s">
        <v>288</v>
      </c>
      <c r="E143" s="34" t="s">
        <v>265</v>
      </c>
      <c r="F143" s="12" t="s">
        <v>289</v>
      </c>
      <c r="G143" s="13">
        <f t="shared" si="1"/>
        <v>0</v>
      </c>
      <c r="H143" s="40"/>
      <c r="I143" s="40"/>
      <c r="J143" s="40"/>
      <c r="K143" s="40"/>
      <c r="L143" s="62"/>
      <c r="M143" s="49"/>
      <c r="P143" s="67">
        <v>880</v>
      </c>
    </row>
    <row r="144" spans="3:16" ht="12.75" x14ac:dyDescent="0.2">
      <c r="C144" s="5"/>
      <c r="D144" s="39" t="s">
        <v>290</v>
      </c>
      <c r="E144" s="35" t="s">
        <v>268</v>
      </c>
      <c r="F144" s="12" t="s">
        <v>291</v>
      </c>
      <c r="G144" s="13">
        <f t="shared" si="1"/>
        <v>0</v>
      </c>
      <c r="H144" s="40"/>
      <c r="I144" s="40"/>
      <c r="J144" s="40"/>
      <c r="K144" s="40"/>
      <c r="L144" s="62"/>
      <c r="M144" s="49"/>
      <c r="P144" s="67"/>
    </row>
    <row r="145" spans="3:19" ht="12.75" x14ac:dyDescent="0.2">
      <c r="C145" s="5"/>
      <c r="D145" s="39" t="s">
        <v>292</v>
      </c>
      <c r="E145" s="34" t="s">
        <v>271</v>
      </c>
      <c r="F145" s="12" t="s">
        <v>293</v>
      </c>
      <c r="G145" s="13">
        <f t="shared" si="1"/>
        <v>0</v>
      </c>
      <c r="H145" s="45"/>
      <c r="I145" s="45"/>
      <c r="J145" s="45"/>
      <c r="K145" s="45"/>
      <c r="L145" s="62"/>
      <c r="M145" s="49"/>
      <c r="P145" s="67">
        <v>890</v>
      </c>
    </row>
    <row r="146" spans="3:19" ht="22.5" x14ac:dyDescent="0.2">
      <c r="C146" s="5"/>
      <c r="D146" s="39" t="s">
        <v>294</v>
      </c>
      <c r="E146" s="11" t="s">
        <v>295</v>
      </c>
      <c r="F146" s="12" t="s">
        <v>296</v>
      </c>
      <c r="G146" s="13">
        <f t="shared" si="1"/>
        <v>3771.6003397559998</v>
      </c>
      <c r="H146" s="46">
        <f>SUM( H147:H148)</f>
        <v>5.7315599999999993E-3</v>
      </c>
      <c r="I146" s="46">
        <f>SUM( I147:I148)</f>
        <v>3511.4691374159997</v>
      </c>
      <c r="J146" s="46">
        <f>SUM( J147:J148)</f>
        <v>165.22569677999999</v>
      </c>
      <c r="K146" s="46">
        <f>SUM( K147:K148)</f>
        <v>94.899773999999994</v>
      </c>
      <c r="L146" s="62"/>
      <c r="M146" s="49"/>
      <c r="P146" s="67">
        <v>900</v>
      </c>
    </row>
    <row r="147" spans="3:19" ht="12.75" x14ac:dyDescent="0.2">
      <c r="C147" s="5"/>
      <c r="D147" s="39" t="s">
        <v>297</v>
      </c>
      <c r="E147" s="14" t="s">
        <v>173</v>
      </c>
      <c r="F147" s="12" t="s">
        <v>298</v>
      </c>
      <c r="G147" s="13">
        <f t="shared" si="1"/>
        <v>0</v>
      </c>
      <c r="H147" s="45"/>
      <c r="I147" s="45"/>
      <c r="J147" s="45"/>
      <c r="K147" s="45"/>
      <c r="L147" s="62"/>
      <c r="M147" s="49"/>
      <c r="P147" s="67"/>
    </row>
    <row r="148" spans="3:19" ht="12.75" x14ac:dyDescent="0.2">
      <c r="C148" s="5"/>
      <c r="D148" s="39" t="s">
        <v>299</v>
      </c>
      <c r="E148" s="14" t="s">
        <v>176</v>
      </c>
      <c r="F148" s="12" t="s">
        <v>300</v>
      </c>
      <c r="G148" s="13">
        <f t="shared" si="1"/>
        <v>3771.6003397559998</v>
      </c>
      <c r="H148" s="46">
        <f>H149+H150</f>
        <v>5.7315599999999993E-3</v>
      </c>
      <c r="I148" s="46">
        <f>I149+I150</f>
        <v>3511.4691374159997</v>
      </c>
      <c r="J148" s="46">
        <f>J149+J150</f>
        <v>165.22569677999999</v>
      </c>
      <c r="K148" s="46">
        <f>K149+K150</f>
        <v>94.899773999999994</v>
      </c>
      <c r="L148" s="62"/>
      <c r="M148" s="49"/>
      <c r="P148" s="67"/>
    </row>
    <row r="149" spans="3:19" ht="12.75" x14ac:dyDescent="0.2">
      <c r="C149" s="5"/>
      <c r="D149" s="39" t="s">
        <v>301</v>
      </c>
      <c r="E149" s="34" t="s">
        <v>302</v>
      </c>
      <c r="F149" s="12" t="s">
        <v>303</v>
      </c>
      <c r="G149" s="13">
        <f t="shared" si="1"/>
        <v>3018.1360428359999</v>
      </c>
      <c r="H149" s="45"/>
      <c r="I149" s="45">
        <f>I127*56363.61/1000*1.2</f>
        <v>3018.1360428359999</v>
      </c>
      <c r="J149" s="45"/>
      <c r="K149" s="45"/>
      <c r="L149" s="62"/>
      <c r="M149" s="49"/>
      <c r="P149" s="67" t="s">
        <v>333</v>
      </c>
    </row>
    <row r="150" spans="3:19" ht="12.75" x14ac:dyDescent="0.2">
      <c r="C150" s="5"/>
      <c r="D150" s="39" t="s">
        <v>304</v>
      </c>
      <c r="E150" s="34" t="s">
        <v>271</v>
      </c>
      <c r="F150" s="12" t="s">
        <v>305</v>
      </c>
      <c r="G150" s="13">
        <f t="shared" si="1"/>
        <v>753.46429692000004</v>
      </c>
      <c r="H150" s="45">
        <f>H128*88.45/1000*1.2</f>
        <v>5.7315599999999993E-3</v>
      </c>
      <c r="I150" s="45">
        <f>I128*88.45/1000*1.2</f>
        <v>493.33309458000002</v>
      </c>
      <c r="J150" s="45">
        <f>J128*88.45/1000*1.2</f>
        <v>165.22569677999999</v>
      </c>
      <c r="K150" s="45">
        <f>K128*88.45/1000*1.2</f>
        <v>94.899773999999994</v>
      </c>
      <c r="L150" s="62"/>
      <c r="M150" s="49"/>
      <c r="P150" s="67" t="s">
        <v>334</v>
      </c>
    </row>
    <row r="151" spans="3:19" x14ac:dyDescent="0.25">
      <c r="D151" s="4"/>
      <c r="E151" s="47"/>
      <c r="F151" s="47"/>
      <c r="G151" s="47"/>
      <c r="H151" s="47"/>
      <c r="I151" s="47"/>
      <c r="J151" s="47"/>
      <c r="K151" s="48"/>
      <c r="L151" s="48"/>
      <c r="M151" s="48"/>
      <c r="N151" s="48"/>
      <c r="O151" s="48"/>
      <c r="P151" s="48"/>
      <c r="Q151" s="48"/>
      <c r="R151" s="63"/>
      <c r="S151" s="63"/>
    </row>
    <row r="152" spans="3:19" ht="12.75" x14ac:dyDescent="0.2">
      <c r="E152" s="49" t="s">
        <v>306</v>
      </c>
      <c r="F152" s="108" t="str">
        <f>IF([10]Титульный!G45="","",[10]Титульный!G45)</f>
        <v>экономист</v>
      </c>
      <c r="G152" s="108"/>
      <c r="H152" s="50"/>
      <c r="I152" s="108" t="str">
        <f>IF([10]Титульный!G44="","",[10]Титульный!G44)</f>
        <v>Кривнева Е. В.</v>
      </c>
      <c r="J152" s="108"/>
      <c r="K152" s="108"/>
      <c r="L152" s="50"/>
      <c r="M152" s="72"/>
      <c r="N152" s="72"/>
      <c r="O152" s="52"/>
      <c r="P152" s="48"/>
      <c r="Q152" s="48"/>
      <c r="R152" s="63"/>
      <c r="S152" s="63"/>
    </row>
    <row r="153" spans="3:19" ht="12.75" x14ac:dyDescent="0.2">
      <c r="E153" s="51" t="s">
        <v>307</v>
      </c>
      <c r="F153" s="109" t="s">
        <v>308</v>
      </c>
      <c r="G153" s="109"/>
      <c r="H153" s="52"/>
      <c r="I153" s="109" t="s">
        <v>309</v>
      </c>
      <c r="J153" s="109"/>
      <c r="K153" s="109"/>
      <c r="L153" s="52"/>
      <c r="M153" s="109" t="s">
        <v>335</v>
      </c>
      <c r="N153" s="109"/>
      <c r="O153" s="49"/>
      <c r="P153" s="48"/>
      <c r="Q153" s="48"/>
      <c r="R153" s="63"/>
      <c r="S153" s="63"/>
    </row>
    <row r="154" spans="3:19" ht="12.75" x14ac:dyDescent="0.2">
      <c r="E154" s="51" t="s">
        <v>310</v>
      </c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8"/>
      <c r="Q154" s="48"/>
      <c r="R154" s="63"/>
      <c r="S154" s="63"/>
    </row>
    <row r="155" spans="3:19" ht="12.75" x14ac:dyDescent="0.2">
      <c r="E155" s="51" t="s">
        <v>311</v>
      </c>
      <c r="F155" s="108" t="str">
        <f>IF([10]Титульный!G46="","",[10]Титульный!G46)</f>
        <v>(861) 258-50-71</v>
      </c>
      <c r="G155" s="108"/>
      <c r="H155" s="108"/>
      <c r="I155" s="49"/>
      <c r="J155" s="51" t="s">
        <v>312</v>
      </c>
      <c r="K155" s="96"/>
      <c r="L155" s="49"/>
      <c r="M155" s="49"/>
      <c r="N155" s="49"/>
      <c r="O155" s="49"/>
      <c r="P155" s="48"/>
      <c r="Q155" s="48"/>
      <c r="R155" s="63"/>
      <c r="S155" s="63"/>
    </row>
    <row r="156" spans="3:19" ht="12.75" x14ac:dyDescent="0.2">
      <c r="E156" s="49" t="s">
        <v>313</v>
      </c>
      <c r="F156" s="110" t="s">
        <v>314</v>
      </c>
      <c r="G156" s="110"/>
      <c r="H156" s="110"/>
      <c r="I156" s="49"/>
      <c r="J156" s="53" t="s">
        <v>315</v>
      </c>
      <c r="K156" s="53"/>
      <c r="L156" s="49"/>
      <c r="M156" s="49"/>
      <c r="N156" s="49"/>
      <c r="O156" s="49"/>
      <c r="P156" s="48"/>
      <c r="Q156" s="48"/>
      <c r="R156" s="63"/>
      <c r="S156" s="63"/>
    </row>
    <row r="157" spans="3:19" x14ac:dyDescent="0.25"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63"/>
      <c r="S157" s="63"/>
    </row>
    <row r="158" spans="3:19" x14ac:dyDescent="0.25"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63"/>
      <c r="S158" s="63"/>
    </row>
    <row r="159" spans="3:19" x14ac:dyDescent="0.25"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63"/>
      <c r="S159" s="63"/>
    </row>
    <row r="160" spans="3:19" x14ac:dyDescent="0.25"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63"/>
      <c r="S160" s="63"/>
    </row>
    <row r="161" spans="5:19" x14ac:dyDescent="0.25"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63"/>
      <c r="S161" s="63"/>
    </row>
    <row r="162" spans="5:19" x14ac:dyDescent="0.25"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63"/>
      <c r="S162" s="63"/>
    </row>
    <row r="163" spans="5:19" x14ac:dyDescent="0.25"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63"/>
      <c r="S163" s="63"/>
    </row>
    <row r="164" spans="5:19" x14ac:dyDescent="0.25"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63"/>
      <c r="S164" s="63"/>
    </row>
    <row r="165" spans="5:19" x14ac:dyDescent="0.25"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63"/>
      <c r="S165" s="63"/>
    </row>
    <row r="166" spans="5:19" x14ac:dyDescent="0.25"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63"/>
      <c r="S166" s="63"/>
    </row>
    <row r="167" spans="5:19" x14ac:dyDescent="0.25"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63"/>
      <c r="S167" s="63"/>
    </row>
    <row r="168" spans="5:19" x14ac:dyDescent="0.25"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63"/>
      <c r="S168" s="63"/>
    </row>
    <row r="169" spans="5:19" x14ac:dyDescent="0.25"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63"/>
      <c r="S169" s="63"/>
    </row>
    <row r="170" spans="5:19" x14ac:dyDescent="0.25"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63"/>
      <c r="S170" s="63"/>
    </row>
    <row r="171" spans="5:19" x14ac:dyDescent="0.25"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63"/>
      <c r="S171" s="63"/>
    </row>
    <row r="172" spans="5:19" x14ac:dyDescent="0.25"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63"/>
      <c r="S172" s="63"/>
    </row>
    <row r="173" spans="5:19" x14ac:dyDescent="0.25"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63"/>
      <c r="S173" s="63"/>
    </row>
    <row r="174" spans="5:19" x14ac:dyDescent="0.25"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63"/>
      <c r="S174" s="63"/>
    </row>
    <row r="175" spans="5:19" x14ac:dyDescent="0.25"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63"/>
      <c r="S175" s="63"/>
    </row>
    <row r="176" spans="5:19" x14ac:dyDescent="0.25"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63"/>
      <c r="S176" s="63"/>
    </row>
    <row r="177" spans="5:19" x14ac:dyDescent="0.25"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63"/>
      <c r="S177" s="63"/>
    </row>
    <row r="178" spans="5:19" x14ac:dyDescent="0.25"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63"/>
      <c r="S178" s="63"/>
    </row>
    <row r="179" spans="5:19" x14ac:dyDescent="0.25"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63"/>
      <c r="S179" s="63"/>
    </row>
    <row r="180" spans="5:19" x14ac:dyDescent="0.25"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63"/>
      <c r="S180" s="63"/>
    </row>
    <row r="181" spans="5:19" x14ac:dyDescent="0.25"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63"/>
      <c r="S181" s="63"/>
    </row>
    <row r="182" spans="5:19" x14ac:dyDescent="0.25"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5:19" x14ac:dyDescent="0.25"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5:19" x14ac:dyDescent="0.25"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5:19" x14ac:dyDescent="0.25"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</sheetData>
  <mergeCells count="18">
    <mergeCell ref="F153:G153"/>
    <mergeCell ref="I153:K153"/>
    <mergeCell ref="M153:N153"/>
    <mergeCell ref="F155:H155"/>
    <mergeCell ref="F156:H156"/>
    <mergeCell ref="D14:K14"/>
    <mergeCell ref="D53:K53"/>
    <mergeCell ref="D92:K92"/>
    <mergeCell ref="D96:K96"/>
    <mergeCell ref="D129:K129"/>
    <mergeCell ref="F152:G152"/>
    <mergeCell ref="I152:K152"/>
    <mergeCell ref="D8:E8"/>
    <mergeCell ref="D11:D12"/>
    <mergeCell ref="E11:E12"/>
    <mergeCell ref="F11:F12"/>
    <mergeCell ref="G11:G12"/>
    <mergeCell ref="H11:K11"/>
  </mergeCells>
  <dataValidations count="2">
    <dataValidation allowBlank="1" showInputMessage="1" promptTitle="Ввод" prompt="Для выбора организации необходимо два раза нажать левую клавишу мыши!" sqref="E42 E25:E26 E81 E64:E65"/>
    <dataValidation type="decimal" allowBlank="1" showErrorMessage="1" errorTitle="Ошибка" error="Допускается ввод только действительных чисел!" sqref="G62:K65 G93:K95 G67:K81 G15:K18 G83:K91 G97:K128 G23:K26 G44:K52 G28:K42 G130:K150 G59:K60 G20:K21 G54:K57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85"/>
  <sheetViews>
    <sheetView tabSelected="1" topLeftCell="C7" workbookViewId="0">
      <selection activeCell="I149" sqref="I149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 x14ac:dyDescent="0.25">
      <c r="S1" s="54"/>
      <c r="T1" s="54"/>
      <c r="U1" s="54"/>
      <c r="V1" s="54"/>
      <c r="Y1" s="54"/>
      <c r="AA1" s="54"/>
      <c r="AN1" s="54"/>
      <c r="AO1" s="54"/>
      <c r="AP1" s="54"/>
      <c r="BC1" s="54"/>
      <c r="BF1" s="54"/>
      <c r="BG1" s="54"/>
      <c r="BI1" s="54"/>
      <c r="BM1" s="54"/>
      <c r="BO1" s="54"/>
      <c r="BX1" s="54"/>
      <c r="BY1" s="54"/>
      <c r="CC1" s="54"/>
    </row>
    <row r="2" spans="1:81" hidden="1" x14ac:dyDescent="0.25"/>
    <row r="3" spans="1:81" hidden="1" x14ac:dyDescent="0.25"/>
    <row r="4" spans="1:81" hidden="1" x14ac:dyDescent="0.25">
      <c r="A4" s="55"/>
      <c r="F4" s="56"/>
      <c r="G4" s="56"/>
      <c r="H4" s="56"/>
      <c r="I4" s="56"/>
      <c r="J4" s="56"/>
      <c r="K4" s="56"/>
      <c r="M4" s="56"/>
      <c r="N4" s="56"/>
      <c r="O4" s="56"/>
      <c r="P4" s="56"/>
      <c r="Q4" s="56"/>
    </row>
    <row r="5" spans="1:81" hidden="1" x14ac:dyDescent="0.25">
      <c r="A5" s="57"/>
      <c r="F5" s="1" t="s">
        <v>316</v>
      </c>
      <c r="G5" s="1" t="s">
        <v>317</v>
      </c>
      <c r="H5" s="1" t="s">
        <v>318</v>
      </c>
      <c r="I5" s="1" t="s">
        <v>319</v>
      </c>
      <c r="J5" s="1" t="s">
        <v>320</v>
      </c>
      <c r="K5" s="1" t="s">
        <v>321</v>
      </c>
      <c r="L5" s="1" t="s">
        <v>322</v>
      </c>
      <c r="M5" s="1" t="s">
        <v>323</v>
      </c>
      <c r="N5" s="1" t="s">
        <v>323</v>
      </c>
      <c r="O5" s="1" t="s">
        <v>324</v>
      </c>
      <c r="P5" s="1" t="s">
        <v>325</v>
      </c>
      <c r="Q5" s="1" t="s">
        <v>326</v>
      </c>
    </row>
    <row r="6" spans="1:81" hidden="1" x14ac:dyDescent="0.25">
      <c r="A6" s="57"/>
    </row>
    <row r="7" spans="1:81" ht="12" customHeight="1" x14ac:dyDescent="0.25">
      <c r="A7" s="57"/>
      <c r="D7" s="5"/>
      <c r="E7" s="5"/>
      <c r="F7" s="5"/>
      <c r="G7" s="5"/>
      <c r="H7" s="5"/>
      <c r="I7" s="5"/>
      <c r="J7" s="5"/>
      <c r="K7" s="58"/>
      <c r="Q7" s="66"/>
    </row>
    <row r="8" spans="1:81" ht="22.5" customHeight="1" x14ac:dyDescent="0.25">
      <c r="A8" s="57"/>
      <c r="D8" s="104" t="s">
        <v>0</v>
      </c>
      <c r="E8" s="10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81" x14ac:dyDescent="0.25">
      <c r="A9" s="57"/>
      <c r="D9" s="3" t="s">
        <v>352</v>
      </c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81" ht="12" customHeight="1" x14ac:dyDescent="0.25">
      <c r="D10" s="4"/>
      <c r="E10" s="4"/>
      <c r="F10" s="5"/>
      <c r="G10" s="5"/>
      <c r="H10" s="5"/>
      <c r="I10" s="5"/>
      <c r="K10" s="6" t="s">
        <v>1</v>
      </c>
    </row>
    <row r="11" spans="1:81" ht="15" customHeight="1" x14ac:dyDescent="0.25">
      <c r="C11" s="5"/>
      <c r="D11" s="105" t="s">
        <v>2</v>
      </c>
      <c r="E11" s="102" t="s">
        <v>3</v>
      </c>
      <c r="F11" s="102" t="s">
        <v>4</v>
      </c>
      <c r="G11" s="102" t="s">
        <v>5</v>
      </c>
      <c r="H11" s="102" t="s">
        <v>6</v>
      </c>
      <c r="I11" s="102"/>
      <c r="J11" s="102"/>
      <c r="K11" s="103"/>
      <c r="L11" s="59"/>
    </row>
    <row r="12" spans="1:81" ht="15" customHeight="1" x14ac:dyDescent="0.25">
      <c r="C12" s="5"/>
      <c r="D12" s="106"/>
      <c r="E12" s="107"/>
      <c r="F12" s="107"/>
      <c r="G12" s="107"/>
      <c r="H12" s="97" t="s">
        <v>7</v>
      </c>
      <c r="I12" s="97" t="s">
        <v>8</v>
      </c>
      <c r="J12" s="97" t="s">
        <v>9</v>
      </c>
      <c r="K12" s="7" t="s">
        <v>10</v>
      </c>
      <c r="L12" s="59"/>
    </row>
    <row r="13" spans="1:81" ht="12" customHeight="1" x14ac:dyDescent="0.25">
      <c r="D13" s="8">
        <v>0</v>
      </c>
      <c r="E13" s="8">
        <v>1</v>
      </c>
      <c r="F13" s="8">
        <v>2</v>
      </c>
      <c r="G13" s="8">
        <v>3</v>
      </c>
      <c r="H13" s="8">
        <v>4</v>
      </c>
      <c r="I13" s="8">
        <v>5</v>
      </c>
      <c r="J13" s="8">
        <v>6</v>
      </c>
      <c r="K13" s="8">
        <v>7</v>
      </c>
    </row>
    <row r="14" spans="1:81" s="60" customFormat="1" ht="15" customHeight="1" x14ac:dyDescent="0.25">
      <c r="C14" s="9"/>
      <c r="D14" s="99" t="s">
        <v>11</v>
      </c>
      <c r="E14" s="100"/>
      <c r="F14" s="100"/>
      <c r="G14" s="100"/>
      <c r="H14" s="100"/>
      <c r="I14" s="100"/>
      <c r="J14" s="100"/>
      <c r="K14" s="101"/>
      <c r="L14" s="61"/>
    </row>
    <row r="15" spans="1:81" s="60" customFormat="1" ht="15" customHeight="1" x14ac:dyDescent="0.2">
      <c r="C15" s="9"/>
      <c r="D15" s="10" t="s">
        <v>12</v>
      </c>
      <c r="E15" s="11" t="s">
        <v>13</v>
      </c>
      <c r="F15" s="12">
        <v>10</v>
      </c>
      <c r="G15" s="13">
        <f>SUM(H15:K15)</f>
        <v>77992.297000000006</v>
      </c>
      <c r="H15" s="13">
        <f>H16+H17+H20+H23</f>
        <v>10718.216</v>
      </c>
      <c r="I15" s="13">
        <f>I16+I17+I20+I23</f>
        <v>58072.489000000001</v>
      </c>
      <c r="J15" s="13">
        <f>J16+J17+J20+J23</f>
        <v>9201.5920000000006</v>
      </c>
      <c r="K15" s="13">
        <f>K16+K17+K20+K23</f>
        <v>0</v>
      </c>
      <c r="L15" s="61"/>
      <c r="M15" s="49"/>
      <c r="P15" s="67">
        <v>10</v>
      </c>
    </row>
    <row r="16" spans="1:81" s="60" customFormat="1" ht="15" customHeight="1" x14ac:dyDescent="0.2">
      <c r="C16" s="9"/>
      <c r="D16" s="10" t="s">
        <v>14</v>
      </c>
      <c r="E16" s="14" t="s">
        <v>15</v>
      </c>
      <c r="F16" s="12">
        <v>20</v>
      </c>
      <c r="G16" s="13">
        <f t="shared" ref="G16:G136" si="0">SUM(H16:K16)</f>
        <v>0</v>
      </c>
      <c r="H16" s="15"/>
      <c r="I16" s="15"/>
      <c r="J16" s="15"/>
      <c r="K16" s="15"/>
      <c r="L16" s="61"/>
      <c r="M16" s="49"/>
      <c r="P16" s="67">
        <v>20</v>
      </c>
    </row>
    <row r="17" spans="3:16" s="60" customFormat="1" ht="12.75" x14ac:dyDescent="0.2">
      <c r="C17" s="9"/>
      <c r="D17" s="10" t="s">
        <v>16</v>
      </c>
      <c r="E17" s="14" t="s">
        <v>17</v>
      </c>
      <c r="F17" s="12">
        <v>30</v>
      </c>
      <c r="G17" s="13">
        <f t="shared" si="0"/>
        <v>0</v>
      </c>
      <c r="H17" s="13">
        <f>SUM(H18:H19)</f>
        <v>0</v>
      </c>
      <c r="I17" s="13">
        <f>SUM(I18:I19)</f>
        <v>0</v>
      </c>
      <c r="J17" s="13">
        <f>SUM(J18:J19)</f>
        <v>0</v>
      </c>
      <c r="K17" s="13">
        <f>SUM(K18:K19)</f>
        <v>0</v>
      </c>
      <c r="L17" s="61"/>
      <c r="M17" s="49"/>
      <c r="P17" s="67">
        <v>30</v>
      </c>
    </row>
    <row r="18" spans="3:16" s="60" customFormat="1" ht="12.75" x14ac:dyDescent="0.2">
      <c r="C18" s="9"/>
      <c r="D18" s="16" t="s">
        <v>18</v>
      </c>
      <c r="E18" s="17"/>
      <c r="F18" s="18" t="s">
        <v>19</v>
      </c>
      <c r="G18" s="19"/>
      <c r="H18" s="19"/>
      <c r="I18" s="19"/>
      <c r="J18" s="19"/>
      <c r="K18" s="19"/>
      <c r="L18" s="61"/>
      <c r="M18" s="49"/>
      <c r="P18" s="67"/>
    </row>
    <row r="19" spans="3:16" s="60" customFormat="1" ht="12.75" x14ac:dyDescent="0.2">
      <c r="C19" s="9"/>
      <c r="D19" s="20"/>
      <c r="E19" s="21" t="s">
        <v>20</v>
      </c>
      <c r="F19" s="22"/>
      <c r="G19" s="22"/>
      <c r="H19" s="22"/>
      <c r="I19" s="22"/>
      <c r="J19" s="22"/>
      <c r="K19" s="23"/>
      <c r="L19" s="61"/>
      <c r="M19" s="49"/>
      <c r="P19" s="68"/>
    </row>
    <row r="20" spans="3:16" s="60" customFormat="1" ht="12.75" x14ac:dyDescent="0.2">
      <c r="C20" s="9"/>
      <c r="D20" s="10" t="s">
        <v>21</v>
      </c>
      <c r="E20" s="14" t="s">
        <v>22</v>
      </c>
      <c r="F20" s="12" t="s">
        <v>23</v>
      </c>
      <c r="G20" s="13">
        <f t="shared" si="0"/>
        <v>0</v>
      </c>
      <c r="H20" s="13">
        <f>SUM(H21:H22)</f>
        <v>0</v>
      </c>
      <c r="I20" s="13">
        <f>SUM(I21:I22)</f>
        <v>0</v>
      </c>
      <c r="J20" s="13">
        <f>SUM(J21:J22)</f>
        <v>0</v>
      </c>
      <c r="K20" s="13">
        <f>SUM(K21:K22)</f>
        <v>0</v>
      </c>
      <c r="L20" s="61"/>
      <c r="M20" s="49"/>
      <c r="P20" s="68"/>
    </row>
    <row r="21" spans="3:16" s="60" customFormat="1" ht="12.75" x14ac:dyDescent="0.2">
      <c r="C21" s="9"/>
      <c r="D21" s="16" t="s">
        <v>24</v>
      </c>
      <c r="E21" s="17"/>
      <c r="F21" s="18" t="s">
        <v>23</v>
      </c>
      <c r="G21" s="19"/>
      <c r="H21" s="19"/>
      <c r="I21" s="19"/>
      <c r="J21" s="19"/>
      <c r="K21" s="19"/>
      <c r="L21" s="61"/>
      <c r="M21" s="49"/>
      <c r="P21" s="67"/>
    </row>
    <row r="22" spans="3:16" s="60" customFormat="1" ht="12.75" x14ac:dyDescent="0.2">
      <c r="C22" s="9"/>
      <c r="D22" s="20"/>
      <c r="E22" s="21" t="s">
        <v>20</v>
      </c>
      <c r="F22" s="22"/>
      <c r="G22" s="22"/>
      <c r="H22" s="22"/>
      <c r="I22" s="22"/>
      <c r="J22" s="22"/>
      <c r="K22" s="23"/>
      <c r="L22" s="61"/>
      <c r="M22" s="49"/>
      <c r="P22" s="68"/>
    </row>
    <row r="23" spans="3:16" s="60" customFormat="1" ht="12.75" x14ac:dyDescent="0.2">
      <c r="C23" s="9"/>
      <c r="D23" s="10" t="s">
        <v>25</v>
      </c>
      <c r="E23" s="14" t="s">
        <v>26</v>
      </c>
      <c r="F23" s="12" t="s">
        <v>27</v>
      </c>
      <c r="G23" s="13">
        <f t="shared" si="0"/>
        <v>77992.297000000006</v>
      </c>
      <c r="H23" s="13">
        <f>SUM(H24:H27)</f>
        <v>10718.216</v>
      </c>
      <c r="I23" s="13">
        <f>SUM(I24:I27)</f>
        <v>58072.489000000001</v>
      </c>
      <c r="J23" s="13">
        <f>SUM(J24:J27)</f>
        <v>9201.5920000000006</v>
      </c>
      <c r="K23" s="13">
        <f>SUM(K24:K27)</f>
        <v>0</v>
      </c>
      <c r="L23" s="61"/>
      <c r="M23" s="49"/>
      <c r="P23" s="67">
        <v>40</v>
      </c>
    </row>
    <row r="24" spans="3:16" s="60" customFormat="1" ht="12.75" x14ac:dyDescent="0.2">
      <c r="C24" s="9"/>
      <c r="D24" s="16" t="s">
        <v>28</v>
      </c>
      <c r="E24" s="17"/>
      <c r="F24" s="18" t="s">
        <v>27</v>
      </c>
      <c r="G24" s="19"/>
      <c r="H24" s="19"/>
      <c r="I24" s="19"/>
      <c r="J24" s="19"/>
      <c r="K24" s="19"/>
      <c r="L24" s="61"/>
      <c r="M24" s="49"/>
      <c r="P24" s="67"/>
    </row>
    <row r="25" spans="3:16" s="60" customFormat="1" ht="15" x14ac:dyDescent="0.25">
      <c r="C25" s="24" t="s">
        <v>29</v>
      </c>
      <c r="D25" s="25" t="s">
        <v>30</v>
      </c>
      <c r="E25" s="26" t="s">
        <v>344</v>
      </c>
      <c r="F25" s="27">
        <v>431</v>
      </c>
      <c r="G25" s="28">
        <f>SUM(H25:K25)</f>
        <v>73842.350000000006</v>
      </c>
      <c r="H25" s="29">
        <v>10718.216</v>
      </c>
      <c r="I25" s="29">
        <v>58072.489000000001</v>
      </c>
      <c r="J25" s="29">
        <f>5048.267+3.378</f>
        <v>5051.6449999999995</v>
      </c>
      <c r="K25" s="30"/>
      <c r="L25" s="61"/>
      <c r="M25" s="69" t="s">
        <v>327</v>
      </c>
      <c r="N25" s="70" t="s">
        <v>328</v>
      </c>
      <c r="O25" s="70" t="s">
        <v>329</v>
      </c>
    </row>
    <row r="26" spans="3:16" s="60" customFormat="1" ht="15" x14ac:dyDescent="0.25">
      <c r="C26" s="24" t="s">
        <v>29</v>
      </c>
      <c r="D26" s="25" t="s">
        <v>342</v>
      </c>
      <c r="E26" s="26" t="s">
        <v>68</v>
      </c>
      <c r="F26" s="27">
        <v>432</v>
      </c>
      <c r="G26" s="28">
        <f>SUM(H26:K26)</f>
        <v>4149.9470000000001</v>
      </c>
      <c r="H26" s="29"/>
      <c r="I26" s="29"/>
      <c r="J26" s="29">
        <v>4149.9470000000001</v>
      </c>
      <c r="K26" s="30"/>
      <c r="L26" s="61"/>
      <c r="M26" s="69" t="s">
        <v>330</v>
      </c>
      <c r="N26" s="70" t="s">
        <v>328</v>
      </c>
      <c r="O26" s="70" t="s">
        <v>332</v>
      </c>
    </row>
    <row r="27" spans="3:16" s="60" customFormat="1" ht="12.75" x14ac:dyDescent="0.2">
      <c r="C27" s="9"/>
      <c r="D27" s="20"/>
      <c r="E27" s="21" t="s">
        <v>20</v>
      </c>
      <c r="F27" s="22"/>
      <c r="G27" s="22"/>
      <c r="H27" s="22"/>
      <c r="I27" s="22"/>
      <c r="J27" s="22"/>
      <c r="K27" s="23"/>
      <c r="L27" s="61"/>
      <c r="M27" s="49"/>
      <c r="P27" s="67"/>
    </row>
    <row r="28" spans="3:16" s="60" customFormat="1" ht="12.75" x14ac:dyDescent="0.2">
      <c r="C28" s="9"/>
      <c r="D28" s="10" t="s">
        <v>31</v>
      </c>
      <c r="E28" s="11" t="s">
        <v>32</v>
      </c>
      <c r="F28" s="12" t="s">
        <v>33</v>
      </c>
      <c r="G28" s="13">
        <f t="shared" si="0"/>
        <v>34790.958000000006</v>
      </c>
      <c r="H28" s="13">
        <f>H30+H31+H32</f>
        <v>0</v>
      </c>
      <c r="I28" s="13">
        <f>I29+I31+I32</f>
        <v>0</v>
      </c>
      <c r="J28" s="13">
        <f>J29+J30+J32</f>
        <v>22399.942000000003</v>
      </c>
      <c r="K28" s="13">
        <f>K29+K30+K31</f>
        <v>12391.016000000003</v>
      </c>
      <c r="L28" s="61"/>
      <c r="M28" s="49"/>
      <c r="P28" s="67">
        <v>50</v>
      </c>
    </row>
    <row r="29" spans="3:16" s="60" customFormat="1" ht="12.75" x14ac:dyDescent="0.2">
      <c r="C29" s="9"/>
      <c r="D29" s="10" t="s">
        <v>34</v>
      </c>
      <c r="E29" s="14" t="s">
        <v>7</v>
      </c>
      <c r="F29" s="12" t="s">
        <v>35</v>
      </c>
      <c r="G29" s="13">
        <f t="shared" si="0"/>
        <v>10581.151</v>
      </c>
      <c r="H29" s="31"/>
      <c r="I29" s="15"/>
      <c r="J29" s="15">
        <f>H45</f>
        <v>10581.151</v>
      </c>
      <c r="K29" s="15"/>
      <c r="L29" s="61"/>
      <c r="M29" s="49"/>
      <c r="P29" s="67">
        <v>60</v>
      </c>
    </row>
    <row r="30" spans="3:16" s="60" customFormat="1" ht="12.75" x14ac:dyDescent="0.2">
      <c r="C30" s="9"/>
      <c r="D30" s="10" t="s">
        <v>36</v>
      </c>
      <c r="E30" s="14" t="s">
        <v>8</v>
      </c>
      <c r="F30" s="12" t="s">
        <v>37</v>
      </c>
      <c r="G30" s="13">
        <f t="shared" si="0"/>
        <v>11818.791000000001</v>
      </c>
      <c r="H30" s="15"/>
      <c r="I30" s="31"/>
      <c r="J30" s="15">
        <f>I25-I34-I48</f>
        <v>11818.791000000001</v>
      </c>
      <c r="K30" s="15"/>
      <c r="L30" s="61"/>
      <c r="M30" s="49"/>
      <c r="P30" s="67">
        <v>70</v>
      </c>
    </row>
    <row r="31" spans="3:16" s="60" customFormat="1" ht="12.75" x14ac:dyDescent="0.2">
      <c r="C31" s="9"/>
      <c r="D31" s="10" t="s">
        <v>38</v>
      </c>
      <c r="E31" s="14" t="s">
        <v>9</v>
      </c>
      <c r="F31" s="12" t="s">
        <v>39</v>
      </c>
      <c r="G31" s="13">
        <f t="shared" si="0"/>
        <v>12391.016000000003</v>
      </c>
      <c r="H31" s="15"/>
      <c r="I31" s="15"/>
      <c r="J31" s="31"/>
      <c r="K31" s="15">
        <f>J23+J28+J17-J48-J34</f>
        <v>12391.016000000003</v>
      </c>
      <c r="L31" s="61"/>
      <c r="M31" s="49"/>
      <c r="P31" s="67">
        <v>80</v>
      </c>
    </row>
    <row r="32" spans="3:16" s="60" customFormat="1" ht="12.75" x14ac:dyDescent="0.2">
      <c r="C32" s="9"/>
      <c r="D32" s="10" t="s">
        <v>40</v>
      </c>
      <c r="E32" s="14" t="s">
        <v>41</v>
      </c>
      <c r="F32" s="12" t="s">
        <v>42</v>
      </c>
      <c r="G32" s="13">
        <f t="shared" si="0"/>
        <v>0</v>
      </c>
      <c r="H32" s="15"/>
      <c r="I32" s="15"/>
      <c r="J32" s="15"/>
      <c r="K32" s="31"/>
      <c r="L32" s="61"/>
      <c r="M32" s="49"/>
      <c r="P32" s="67">
        <v>90</v>
      </c>
    </row>
    <row r="33" spans="3:16" s="60" customFormat="1" ht="12.75" x14ac:dyDescent="0.2">
      <c r="C33" s="9"/>
      <c r="D33" s="10" t="s">
        <v>43</v>
      </c>
      <c r="E33" s="32" t="s">
        <v>44</v>
      </c>
      <c r="F33" s="12" t="s">
        <v>45</v>
      </c>
      <c r="G33" s="13">
        <f t="shared" si="0"/>
        <v>0</v>
      </c>
      <c r="H33" s="15"/>
      <c r="I33" s="15"/>
      <c r="J33" s="15"/>
      <c r="K33" s="15"/>
      <c r="L33" s="61"/>
      <c r="M33" s="49"/>
      <c r="P33" s="67"/>
    </row>
    <row r="34" spans="3:16" s="60" customFormat="1" ht="12.75" x14ac:dyDescent="0.2">
      <c r="C34" s="9"/>
      <c r="D34" s="10" t="s">
        <v>46</v>
      </c>
      <c r="E34" s="11" t="s">
        <v>47</v>
      </c>
      <c r="F34" s="33" t="s">
        <v>48</v>
      </c>
      <c r="G34" s="13">
        <f t="shared" si="0"/>
        <v>76108.233999999997</v>
      </c>
      <c r="H34" s="13">
        <f>H35+H37+H40+H44</f>
        <v>135.84</v>
      </c>
      <c r="I34" s="13">
        <f>I35+I37+I40+I44</f>
        <v>45660.769</v>
      </c>
      <c r="J34" s="13">
        <f>J35+J37+J40+J44</f>
        <v>18605.813999999998</v>
      </c>
      <c r="K34" s="13">
        <f>K35+K37+K40+K44</f>
        <v>11705.811</v>
      </c>
      <c r="L34" s="61"/>
      <c r="M34" s="49"/>
      <c r="P34" s="67">
        <v>100</v>
      </c>
    </row>
    <row r="35" spans="3:16" s="60" customFormat="1" ht="22.5" x14ac:dyDescent="0.2">
      <c r="C35" s="9"/>
      <c r="D35" s="10" t="s">
        <v>49</v>
      </c>
      <c r="E35" s="14" t="s">
        <v>50</v>
      </c>
      <c r="F35" s="12" t="s">
        <v>51</v>
      </c>
      <c r="G35" s="13">
        <f t="shared" si="0"/>
        <v>0</v>
      </c>
      <c r="H35" s="15"/>
      <c r="I35" s="15"/>
      <c r="J35" s="15"/>
      <c r="K35" s="15"/>
      <c r="L35" s="61"/>
      <c r="M35" s="49"/>
      <c r="P35" s="67"/>
    </row>
    <row r="36" spans="3:16" s="60" customFormat="1" ht="12.75" x14ac:dyDescent="0.2">
      <c r="C36" s="9"/>
      <c r="D36" s="10" t="s">
        <v>52</v>
      </c>
      <c r="E36" s="34" t="s">
        <v>53</v>
      </c>
      <c r="F36" s="12" t="s">
        <v>54</v>
      </c>
      <c r="G36" s="13">
        <f t="shared" si="0"/>
        <v>0</v>
      </c>
      <c r="H36" s="15"/>
      <c r="I36" s="15"/>
      <c r="J36" s="15"/>
      <c r="K36" s="15"/>
      <c r="L36" s="61"/>
      <c r="M36" s="49"/>
      <c r="P36" s="67"/>
    </row>
    <row r="37" spans="3:16" s="60" customFormat="1" ht="12.75" x14ac:dyDescent="0.2">
      <c r="C37" s="9"/>
      <c r="D37" s="10" t="s">
        <v>55</v>
      </c>
      <c r="E37" s="14" t="s">
        <v>56</v>
      </c>
      <c r="F37" s="12" t="s">
        <v>57</v>
      </c>
      <c r="G37" s="13">
        <f t="shared" si="0"/>
        <v>39010.43</v>
      </c>
      <c r="H37" s="15">
        <v>135.84</v>
      </c>
      <c r="I37" s="15">
        <f>45660.769-I42</f>
        <v>8562.9650000000038</v>
      </c>
      <c r="J37" s="15">
        <v>18605.813999999998</v>
      </c>
      <c r="K37" s="15">
        <v>11705.811</v>
      </c>
      <c r="L37" s="61"/>
      <c r="M37" s="49"/>
      <c r="P37" s="67"/>
    </row>
    <row r="38" spans="3:16" s="60" customFormat="1" ht="12.75" x14ac:dyDescent="0.2">
      <c r="C38" s="9"/>
      <c r="D38" s="10" t="s">
        <v>58</v>
      </c>
      <c r="E38" s="34" t="s">
        <v>59</v>
      </c>
      <c r="F38" s="12" t="s">
        <v>60</v>
      </c>
      <c r="G38" s="13">
        <f t="shared" si="0"/>
        <v>0</v>
      </c>
      <c r="H38" s="15"/>
      <c r="I38" s="15"/>
      <c r="J38" s="15"/>
      <c r="K38" s="15"/>
      <c r="L38" s="61"/>
      <c r="M38" s="49"/>
      <c r="P38" s="67"/>
    </row>
    <row r="39" spans="3:16" s="60" customFormat="1" ht="12.75" x14ac:dyDescent="0.2">
      <c r="C39" s="9"/>
      <c r="D39" s="10" t="s">
        <v>61</v>
      </c>
      <c r="E39" s="35" t="s">
        <v>53</v>
      </c>
      <c r="F39" s="12" t="s">
        <v>62</v>
      </c>
      <c r="G39" s="13">
        <f t="shared" si="0"/>
        <v>0</v>
      </c>
      <c r="H39" s="15"/>
      <c r="I39" s="15"/>
      <c r="J39" s="15"/>
      <c r="K39" s="15"/>
      <c r="L39" s="61"/>
      <c r="M39" s="49"/>
      <c r="P39" s="67"/>
    </row>
    <row r="40" spans="3:16" s="60" customFormat="1" ht="12.75" x14ac:dyDescent="0.2">
      <c r="C40" s="9"/>
      <c r="D40" s="10" t="s">
        <v>63</v>
      </c>
      <c r="E40" s="14" t="s">
        <v>64</v>
      </c>
      <c r="F40" s="12" t="s">
        <v>65</v>
      </c>
      <c r="G40" s="13">
        <f t="shared" si="0"/>
        <v>37097.803999999996</v>
      </c>
      <c r="H40" s="13">
        <f>SUM(H41:H43)</f>
        <v>0</v>
      </c>
      <c r="I40" s="13">
        <f>SUM(I41:I43)</f>
        <v>37097.803999999996</v>
      </c>
      <c r="J40" s="13">
        <f>SUM(J41:J43)</f>
        <v>0</v>
      </c>
      <c r="K40" s="13">
        <f>SUM(K41:K43)</f>
        <v>0</v>
      </c>
      <c r="L40" s="61"/>
      <c r="M40" s="49"/>
      <c r="P40" s="67"/>
    </row>
    <row r="41" spans="3:16" s="60" customFormat="1" ht="12.75" x14ac:dyDescent="0.2">
      <c r="C41" s="9"/>
      <c r="D41" s="16" t="s">
        <v>66</v>
      </c>
      <c r="E41" s="17"/>
      <c r="F41" s="18" t="s">
        <v>65</v>
      </c>
      <c r="G41" s="19"/>
      <c r="H41" s="19"/>
      <c r="I41" s="19"/>
      <c r="J41" s="19"/>
      <c r="K41" s="19"/>
      <c r="L41" s="61"/>
      <c r="M41" s="49"/>
      <c r="P41" s="67"/>
    </row>
    <row r="42" spans="3:16" s="60" customFormat="1" ht="15" x14ac:dyDescent="0.25">
      <c r="C42" s="24" t="s">
        <v>29</v>
      </c>
      <c r="D42" s="25" t="s">
        <v>67</v>
      </c>
      <c r="E42" s="26" t="s">
        <v>68</v>
      </c>
      <c r="F42" s="27">
        <v>751</v>
      </c>
      <c r="G42" s="28">
        <f>SUM(H42:K42)</f>
        <v>37097.803999999996</v>
      </c>
      <c r="H42" s="29"/>
      <c r="I42" s="29">
        <v>37097.803999999996</v>
      </c>
      <c r="J42" s="29"/>
      <c r="K42" s="30"/>
      <c r="L42" s="61"/>
      <c r="M42" s="69" t="s">
        <v>330</v>
      </c>
      <c r="N42" s="70" t="s">
        <v>331</v>
      </c>
      <c r="O42" s="70" t="s">
        <v>332</v>
      </c>
    </row>
    <row r="43" spans="3:16" s="60" customFormat="1" ht="12.75" x14ac:dyDescent="0.2">
      <c r="C43" s="9"/>
      <c r="D43" s="36"/>
      <c r="E43" s="21" t="s">
        <v>20</v>
      </c>
      <c r="F43" s="22"/>
      <c r="G43" s="22"/>
      <c r="H43" s="22"/>
      <c r="I43" s="22"/>
      <c r="J43" s="22"/>
      <c r="K43" s="23"/>
      <c r="L43" s="61"/>
      <c r="M43" s="49"/>
      <c r="P43" s="67"/>
    </row>
    <row r="44" spans="3:16" s="60" customFormat="1" ht="12.75" x14ac:dyDescent="0.2">
      <c r="C44" s="9"/>
      <c r="D44" s="10" t="s">
        <v>69</v>
      </c>
      <c r="E44" s="37" t="s">
        <v>70</v>
      </c>
      <c r="F44" s="12" t="s">
        <v>71</v>
      </c>
      <c r="G44" s="13">
        <f t="shared" si="0"/>
        <v>0</v>
      </c>
      <c r="H44" s="15"/>
      <c r="I44" s="15"/>
      <c r="J44" s="15"/>
      <c r="K44" s="15"/>
      <c r="L44" s="61"/>
      <c r="M44" s="49"/>
      <c r="P44" s="67">
        <v>120</v>
      </c>
    </row>
    <row r="45" spans="3:16" s="60" customFormat="1" ht="12.75" x14ac:dyDescent="0.2">
      <c r="C45" s="9"/>
      <c r="D45" s="10" t="s">
        <v>72</v>
      </c>
      <c r="E45" s="11" t="s">
        <v>73</v>
      </c>
      <c r="F45" s="12" t="s">
        <v>74</v>
      </c>
      <c r="G45" s="13">
        <f t="shared" si="0"/>
        <v>34790.958000000006</v>
      </c>
      <c r="H45" s="15">
        <f>H25-H48-H34</f>
        <v>10581.151</v>
      </c>
      <c r="I45" s="15">
        <f>I15-I34-I48</f>
        <v>11818.791000000001</v>
      </c>
      <c r="J45" s="15">
        <f>J23+J28+J17-J34-J48</f>
        <v>12391.016000000005</v>
      </c>
      <c r="K45" s="15">
        <f>K31-K34-K48</f>
        <v>3.5242919693700969E-12</v>
      </c>
      <c r="L45" s="61"/>
      <c r="M45" s="49"/>
      <c r="P45" s="67">
        <v>150</v>
      </c>
    </row>
    <row r="46" spans="3:16" s="60" customFormat="1" ht="12.75" x14ac:dyDescent="0.2">
      <c r="C46" s="9"/>
      <c r="D46" s="10" t="s">
        <v>75</v>
      </c>
      <c r="E46" s="11" t="s">
        <v>76</v>
      </c>
      <c r="F46" s="12" t="s">
        <v>77</v>
      </c>
      <c r="G46" s="13">
        <f t="shared" si="0"/>
        <v>0</v>
      </c>
      <c r="H46" s="15"/>
      <c r="I46" s="15"/>
      <c r="J46" s="15"/>
      <c r="K46" s="15"/>
      <c r="L46" s="61"/>
      <c r="M46" s="49"/>
      <c r="P46" s="67">
        <v>160</v>
      </c>
    </row>
    <row r="47" spans="3:16" s="60" customFormat="1" ht="12.75" x14ac:dyDescent="0.2">
      <c r="C47" s="9"/>
      <c r="D47" s="10" t="s">
        <v>78</v>
      </c>
      <c r="E47" s="11" t="s">
        <v>79</v>
      </c>
      <c r="F47" s="12" t="s">
        <v>80</v>
      </c>
      <c r="G47" s="13">
        <f t="shared" si="0"/>
        <v>0</v>
      </c>
      <c r="H47" s="15"/>
      <c r="I47" s="15"/>
      <c r="J47" s="15"/>
      <c r="K47" s="15"/>
      <c r="L47" s="61"/>
      <c r="M47" s="49"/>
      <c r="P47" s="67">
        <v>180</v>
      </c>
    </row>
    <row r="48" spans="3:16" s="60" customFormat="1" ht="12.75" x14ac:dyDescent="0.2">
      <c r="C48" s="9"/>
      <c r="D48" s="10" t="s">
        <v>81</v>
      </c>
      <c r="E48" s="11" t="s">
        <v>82</v>
      </c>
      <c r="F48" s="12" t="s">
        <v>83</v>
      </c>
      <c r="G48" s="13">
        <f t="shared" si="0"/>
        <v>1884.0630000000001</v>
      </c>
      <c r="H48" s="15">
        <v>1.2250000000000001</v>
      </c>
      <c r="I48" s="15">
        <v>592.92899999999997</v>
      </c>
      <c r="J48" s="15">
        <v>604.70399999999995</v>
      </c>
      <c r="K48" s="15">
        <v>685.20500000000004</v>
      </c>
      <c r="L48" s="61"/>
      <c r="M48" s="49"/>
      <c r="P48" s="67">
        <v>190</v>
      </c>
    </row>
    <row r="49" spans="3:16" s="60" customFormat="1" ht="12.75" x14ac:dyDescent="0.2">
      <c r="C49" s="9"/>
      <c r="D49" s="10" t="s">
        <v>84</v>
      </c>
      <c r="E49" s="14" t="s">
        <v>85</v>
      </c>
      <c r="F49" s="12" t="s">
        <v>86</v>
      </c>
      <c r="G49" s="13">
        <f t="shared" si="0"/>
        <v>0</v>
      </c>
      <c r="H49" s="15"/>
      <c r="I49" s="15"/>
      <c r="J49" s="15"/>
      <c r="K49" s="15"/>
      <c r="L49" s="61"/>
      <c r="M49" s="49"/>
      <c r="P49" s="67">
        <v>200</v>
      </c>
    </row>
    <row r="50" spans="3:16" s="60" customFormat="1" ht="22.5" x14ac:dyDescent="0.2">
      <c r="C50" s="9"/>
      <c r="D50" s="10" t="s">
        <v>87</v>
      </c>
      <c r="E50" s="11" t="s">
        <v>88</v>
      </c>
      <c r="F50" s="12" t="s">
        <v>89</v>
      </c>
      <c r="G50" s="13">
        <f t="shared" si="0"/>
        <v>1799.45</v>
      </c>
      <c r="H50" s="15"/>
      <c r="I50" s="15">
        <f>1799.45*0.2468</f>
        <v>444.10426000000001</v>
      </c>
      <c r="J50" s="15">
        <f>1799.45*0.3291</f>
        <v>592.19899499999997</v>
      </c>
      <c r="K50" s="15">
        <f>1799.45*0.4241</f>
        <v>763.14674500000001</v>
      </c>
      <c r="L50" s="61"/>
      <c r="M50" s="49"/>
      <c r="P50" s="68"/>
    </row>
    <row r="51" spans="3:16" s="60" customFormat="1" ht="33.75" x14ac:dyDescent="0.2">
      <c r="C51" s="9"/>
      <c r="D51" s="10" t="s">
        <v>90</v>
      </c>
      <c r="E51" s="32" t="s">
        <v>91</v>
      </c>
      <c r="F51" s="12" t="s">
        <v>92</v>
      </c>
      <c r="G51" s="13">
        <f t="shared" si="0"/>
        <v>84.612999999999971</v>
      </c>
      <c r="H51" s="13">
        <f>H48-H50</f>
        <v>1.2250000000000001</v>
      </c>
      <c r="I51" s="13">
        <f>I48-I50</f>
        <v>148.82473999999996</v>
      </c>
      <c r="J51" s="13">
        <f>J48-J50</f>
        <v>12.505004999999983</v>
      </c>
      <c r="K51" s="13">
        <f>K48-K50</f>
        <v>-77.941744999999969</v>
      </c>
      <c r="L51" s="61"/>
      <c r="M51" s="49"/>
      <c r="P51" s="68"/>
    </row>
    <row r="52" spans="3:16" s="60" customFormat="1" ht="12.75" x14ac:dyDescent="0.2">
      <c r="C52" s="9"/>
      <c r="D52" s="10" t="s">
        <v>93</v>
      </c>
      <c r="E52" s="11" t="s">
        <v>94</v>
      </c>
      <c r="F52" s="12" t="s">
        <v>95</v>
      </c>
      <c r="G52" s="13">
        <f t="shared" si="0"/>
        <v>0</v>
      </c>
      <c r="H52" s="13">
        <f>(H15+H28+H33)-(H34+H45+H46+H47+H48)</f>
        <v>0</v>
      </c>
      <c r="I52" s="13">
        <f>(I15+I28+I33)-(I34+I45+I46+I47+I48)</f>
        <v>0</v>
      </c>
      <c r="J52" s="13">
        <f>(J15+J28+J33)-(J34+J45+J46+J47+J48)</f>
        <v>0</v>
      </c>
      <c r="K52" s="13">
        <f>(K15+K28+K33)-(K34+K45+K46+K47+K48)</f>
        <v>0</v>
      </c>
      <c r="L52" s="61"/>
      <c r="M52" s="49"/>
      <c r="P52" s="67">
        <v>210</v>
      </c>
    </row>
    <row r="53" spans="3:16" s="60" customFormat="1" ht="12.75" x14ac:dyDescent="0.2">
      <c r="C53" s="9"/>
      <c r="D53" s="99" t="s">
        <v>96</v>
      </c>
      <c r="E53" s="100"/>
      <c r="F53" s="100"/>
      <c r="G53" s="100"/>
      <c r="H53" s="100"/>
      <c r="I53" s="100"/>
      <c r="J53" s="100"/>
      <c r="K53" s="101"/>
      <c r="L53" s="61"/>
      <c r="M53" s="49"/>
      <c r="P53" s="68"/>
    </row>
    <row r="54" spans="3:16" s="60" customFormat="1" ht="12.75" x14ac:dyDescent="0.2">
      <c r="C54" s="9"/>
      <c r="D54" s="10" t="s">
        <v>97</v>
      </c>
      <c r="E54" s="11" t="s">
        <v>13</v>
      </c>
      <c r="F54" s="12" t="s">
        <v>98</v>
      </c>
      <c r="G54" s="13">
        <f t="shared" si="0"/>
        <v>8.9032302511415526</v>
      </c>
      <c r="H54" s="13">
        <f>H55+H56+H59+H62</f>
        <v>1.2235406392694064</v>
      </c>
      <c r="I54" s="13">
        <f>I55+I56+I59+I62</f>
        <v>6.6292795662100454</v>
      </c>
      <c r="J54" s="13">
        <f>J55+J56+J59+J62</f>
        <v>1.0504100456621004</v>
      </c>
      <c r="K54" s="13">
        <f>K55+K56+K59+K62</f>
        <v>0</v>
      </c>
      <c r="L54" s="61"/>
      <c r="M54" s="49"/>
      <c r="P54" s="67">
        <v>300</v>
      </c>
    </row>
    <row r="55" spans="3:16" s="60" customFormat="1" ht="12.75" x14ac:dyDescent="0.2">
      <c r="C55" s="9"/>
      <c r="D55" s="10" t="s">
        <v>99</v>
      </c>
      <c r="E55" s="14" t="s">
        <v>15</v>
      </c>
      <c r="F55" s="12" t="s">
        <v>100</v>
      </c>
      <c r="G55" s="13">
        <f t="shared" si="0"/>
        <v>0</v>
      </c>
      <c r="H55" s="15"/>
      <c r="I55" s="15"/>
      <c r="J55" s="15"/>
      <c r="K55" s="15"/>
      <c r="L55" s="61"/>
      <c r="M55" s="49"/>
      <c r="P55" s="67">
        <v>310</v>
      </c>
    </row>
    <row r="56" spans="3:16" s="60" customFormat="1" ht="12.75" x14ac:dyDescent="0.2">
      <c r="C56" s="9"/>
      <c r="D56" s="10" t="s">
        <v>101</v>
      </c>
      <c r="E56" s="14" t="s">
        <v>17</v>
      </c>
      <c r="F56" s="12" t="s">
        <v>102</v>
      </c>
      <c r="G56" s="13">
        <f t="shared" si="0"/>
        <v>0</v>
      </c>
      <c r="H56" s="13">
        <f>SUM(H57:H58)</f>
        <v>0</v>
      </c>
      <c r="I56" s="13">
        <f>SUM(I57:I58)</f>
        <v>0</v>
      </c>
      <c r="J56" s="13">
        <f>SUM(J57:J58)</f>
        <v>0</v>
      </c>
      <c r="K56" s="13">
        <f>SUM(K57:K58)</f>
        <v>0</v>
      </c>
      <c r="L56" s="61"/>
      <c r="M56" s="49"/>
      <c r="P56" s="67">
        <v>320</v>
      </c>
    </row>
    <row r="57" spans="3:16" s="60" customFormat="1" ht="12.75" x14ac:dyDescent="0.2">
      <c r="C57" s="9"/>
      <c r="D57" s="16" t="s">
        <v>103</v>
      </c>
      <c r="E57" s="17"/>
      <c r="F57" s="18" t="s">
        <v>102</v>
      </c>
      <c r="G57" s="19"/>
      <c r="H57" s="19"/>
      <c r="I57" s="19"/>
      <c r="J57" s="19"/>
      <c r="K57" s="19"/>
      <c r="L57" s="61"/>
      <c r="M57" s="49"/>
      <c r="P57" s="67"/>
    </row>
    <row r="58" spans="3:16" s="60" customFormat="1" ht="12.75" x14ac:dyDescent="0.2">
      <c r="C58" s="9"/>
      <c r="D58" s="20"/>
      <c r="E58" s="21" t="s">
        <v>20</v>
      </c>
      <c r="F58" s="22"/>
      <c r="G58" s="22"/>
      <c r="H58" s="22"/>
      <c r="I58" s="22"/>
      <c r="J58" s="22"/>
      <c r="K58" s="23"/>
      <c r="L58" s="61"/>
      <c r="M58" s="49"/>
      <c r="P58" s="67"/>
    </row>
    <row r="59" spans="3:16" s="60" customFormat="1" ht="12.75" x14ac:dyDescent="0.2">
      <c r="C59" s="9"/>
      <c r="D59" s="10" t="s">
        <v>104</v>
      </c>
      <c r="E59" s="14" t="s">
        <v>22</v>
      </c>
      <c r="F59" s="12" t="s">
        <v>105</v>
      </c>
      <c r="G59" s="13">
        <f t="shared" si="0"/>
        <v>0</v>
      </c>
      <c r="H59" s="13">
        <f>SUM(H60:H61)</f>
        <v>0</v>
      </c>
      <c r="I59" s="13">
        <f>SUM(I60:I61)</f>
        <v>0</v>
      </c>
      <c r="J59" s="13">
        <f>SUM(J60:J61)</f>
        <v>0</v>
      </c>
      <c r="K59" s="13">
        <f>SUM(K60:K61)</f>
        <v>0</v>
      </c>
      <c r="L59" s="61"/>
      <c r="M59" s="49"/>
      <c r="P59" s="67"/>
    </row>
    <row r="60" spans="3:16" s="60" customFormat="1" ht="12.75" x14ac:dyDescent="0.2">
      <c r="C60" s="9"/>
      <c r="D60" s="16" t="s">
        <v>106</v>
      </c>
      <c r="E60" s="17"/>
      <c r="F60" s="18" t="s">
        <v>105</v>
      </c>
      <c r="G60" s="19"/>
      <c r="H60" s="19"/>
      <c r="I60" s="19"/>
      <c r="J60" s="19"/>
      <c r="K60" s="19"/>
      <c r="L60" s="61"/>
      <c r="M60" s="49"/>
      <c r="P60" s="67"/>
    </row>
    <row r="61" spans="3:16" s="60" customFormat="1" ht="12.75" x14ac:dyDescent="0.2">
      <c r="C61" s="9"/>
      <c r="D61" s="20"/>
      <c r="E61" s="21" t="s">
        <v>20</v>
      </c>
      <c r="F61" s="22"/>
      <c r="G61" s="22"/>
      <c r="H61" s="22"/>
      <c r="I61" s="22"/>
      <c r="J61" s="22"/>
      <c r="K61" s="23"/>
      <c r="L61" s="61"/>
      <c r="M61" s="49"/>
      <c r="P61" s="67"/>
    </row>
    <row r="62" spans="3:16" s="60" customFormat="1" ht="12.75" x14ac:dyDescent="0.2">
      <c r="C62" s="9"/>
      <c r="D62" s="10" t="s">
        <v>107</v>
      </c>
      <c r="E62" s="14" t="s">
        <v>26</v>
      </c>
      <c r="F62" s="12" t="s">
        <v>108</v>
      </c>
      <c r="G62" s="13">
        <f t="shared" si="0"/>
        <v>8.9032302511415526</v>
      </c>
      <c r="H62" s="13">
        <f>SUM(H63:H66)</f>
        <v>1.2235406392694064</v>
      </c>
      <c r="I62" s="13">
        <f>SUM(I63:I66)</f>
        <v>6.6292795662100454</v>
      </c>
      <c r="J62" s="13">
        <f>SUM(J63:J66)</f>
        <v>1.0504100456621004</v>
      </c>
      <c r="K62" s="13">
        <f>SUM(K63:K66)</f>
        <v>0</v>
      </c>
      <c r="L62" s="61"/>
      <c r="M62" s="49"/>
      <c r="P62" s="67">
        <v>330</v>
      </c>
    </row>
    <row r="63" spans="3:16" s="60" customFormat="1" ht="12.75" x14ac:dyDescent="0.2">
      <c r="C63" s="9"/>
      <c r="D63" s="16" t="s">
        <v>109</v>
      </c>
      <c r="E63" s="17"/>
      <c r="F63" s="18" t="s">
        <v>108</v>
      </c>
      <c r="G63" s="19"/>
      <c r="H63" s="19"/>
      <c r="I63" s="19"/>
      <c r="J63" s="19"/>
      <c r="K63" s="19"/>
      <c r="L63" s="61"/>
      <c r="M63" s="49"/>
      <c r="P63" s="67"/>
    </row>
    <row r="64" spans="3:16" s="60" customFormat="1" ht="15" x14ac:dyDescent="0.25">
      <c r="C64" s="24" t="s">
        <v>29</v>
      </c>
      <c r="D64" s="25" t="s">
        <v>110</v>
      </c>
      <c r="E64" s="26" t="s">
        <v>344</v>
      </c>
      <c r="F64" s="27">
        <v>1461</v>
      </c>
      <c r="G64" s="28">
        <f>SUM(H64:K64)</f>
        <v>8.429492009132419</v>
      </c>
      <c r="H64" s="29">
        <f>H25/8760</f>
        <v>1.2235406392694064</v>
      </c>
      <c r="I64" s="29">
        <f>I25/8760</f>
        <v>6.6292795662100454</v>
      </c>
      <c r="J64" s="29">
        <f>J25/8760</f>
        <v>0.576671803652968</v>
      </c>
      <c r="K64" s="29"/>
      <c r="L64" s="61"/>
      <c r="M64" s="69" t="s">
        <v>327</v>
      </c>
      <c r="N64" s="70" t="s">
        <v>328</v>
      </c>
      <c r="O64" s="70" t="s">
        <v>329</v>
      </c>
    </row>
    <row r="65" spans="3:16" s="60" customFormat="1" ht="15" x14ac:dyDescent="0.25">
      <c r="C65" s="24" t="s">
        <v>29</v>
      </c>
      <c r="D65" s="25" t="s">
        <v>343</v>
      </c>
      <c r="E65" s="26" t="s">
        <v>68</v>
      </c>
      <c r="F65" s="27">
        <v>1462</v>
      </c>
      <c r="G65" s="28">
        <f>SUM(H65:K65)</f>
        <v>0.47373824200913245</v>
      </c>
      <c r="H65" s="29"/>
      <c r="I65" s="29"/>
      <c r="J65" s="29">
        <f>J26/8760</f>
        <v>0.47373824200913245</v>
      </c>
      <c r="K65" s="30"/>
      <c r="L65" s="61"/>
      <c r="M65" s="69" t="s">
        <v>330</v>
      </c>
      <c r="N65" s="70" t="s">
        <v>328</v>
      </c>
      <c r="O65" s="70" t="s">
        <v>332</v>
      </c>
    </row>
    <row r="66" spans="3:16" s="60" customFormat="1" ht="12.75" x14ac:dyDescent="0.2">
      <c r="C66" s="9"/>
      <c r="D66" s="20"/>
      <c r="E66" s="21" t="s">
        <v>20</v>
      </c>
      <c r="F66" s="22"/>
      <c r="G66" s="22"/>
      <c r="H66" s="22"/>
      <c r="I66" s="22"/>
      <c r="J66" s="22"/>
      <c r="K66" s="23"/>
      <c r="L66" s="61"/>
      <c r="M66" s="49"/>
      <c r="P66" s="67"/>
    </row>
    <row r="67" spans="3:16" s="60" customFormat="1" ht="12.75" x14ac:dyDescent="0.2">
      <c r="C67" s="9"/>
      <c r="D67" s="10" t="s">
        <v>111</v>
      </c>
      <c r="E67" s="11" t="s">
        <v>32</v>
      </c>
      <c r="F67" s="12" t="s">
        <v>112</v>
      </c>
      <c r="G67" s="13">
        <f t="shared" si="0"/>
        <v>3.9715705479452059</v>
      </c>
      <c r="H67" s="13">
        <f>H69+H70+H71</f>
        <v>0</v>
      </c>
      <c r="I67" s="13">
        <f>I68+I70+I71</f>
        <v>0</v>
      </c>
      <c r="J67" s="13">
        <f>J68+J69+J71</f>
        <v>2.5570710045662102</v>
      </c>
      <c r="K67" s="13">
        <f>K68+K69+K70</f>
        <v>1.4144995433789957</v>
      </c>
      <c r="L67" s="61"/>
      <c r="M67" s="49"/>
      <c r="P67" s="67">
        <v>340</v>
      </c>
    </row>
    <row r="68" spans="3:16" s="60" customFormat="1" ht="12.75" x14ac:dyDescent="0.2">
      <c r="C68" s="9"/>
      <c r="D68" s="10" t="s">
        <v>113</v>
      </c>
      <c r="E68" s="14" t="s">
        <v>7</v>
      </c>
      <c r="F68" s="12" t="s">
        <v>114</v>
      </c>
      <c r="G68" s="13">
        <f t="shared" si="0"/>
        <v>1.2078939497716894</v>
      </c>
      <c r="H68" s="31"/>
      <c r="I68" s="15"/>
      <c r="J68" s="15">
        <f>J29/8760</f>
        <v>1.2078939497716894</v>
      </c>
      <c r="K68" s="15"/>
      <c r="L68" s="61"/>
      <c r="M68" s="49"/>
      <c r="P68" s="67">
        <v>350</v>
      </c>
    </row>
    <row r="69" spans="3:16" s="60" customFormat="1" ht="12.75" x14ac:dyDescent="0.2">
      <c r="C69" s="9"/>
      <c r="D69" s="10" t="s">
        <v>115</v>
      </c>
      <c r="E69" s="14" t="s">
        <v>8</v>
      </c>
      <c r="F69" s="12" t="s">
        <v>116</v>
      </c>
      <c r="G69" s="13">
        <f t="shared" si="0"/>
        <v>1.3491770547945208</v>
      </c>
      <c r="H69" s="15"/>
      <c r="I69" s="38"/>
      <c r="J69" s="15">
        <f>J30/8760</f>
        <v>1.3491770547945208</v>
      </c>
      <c r="K69" s="15"/>
      <c r="L69" s="61"/>
      <c r="M69" s="49"/>
      <c r="P69" s="67">
        <v>360</v>
      </c>
    </row>
    <row r="70" spans="3:16" s="60" customFormat="1" ht="12.75" x14ac:dyDescent="0.2">
      <c r="C70" s="9"/>
      <c r="D70" s="10" t="s">
        <v>117</v>
      </c>
      <c r="E70" s="14" t="s">
        <v>9</v>
      </c>
      <c r="F70" s="12" t="s">
        <v>118</v>
      </c>
      <c r="G70" s="13">
        <f t="shared" si="0"/>
        <v>1.4144995433789957</v>
      </c>
      <c r="H70" s="15"/>
      <c r="I70" s="15"/>
      <c r="J70" s="31"/>
      <c r="K70" s="15">
        <f>K31/8760</f>
        <v>1.4144995433789957</v>
      </c>
      <c r="L70" s="61"/>
      <c r="M70" s="49"/>
      <c r="P70" s="67">
        <v>370</v>
      </c>
    </row>
    <row r="71" spans="3:16" s="60" customFormat="1" ht="12.75" x14ac:dyDescent="0.2">
      <c r="C71" s="9"/>
      <c r="D71" s="10" t="s">
        <v>119</v>
      </c>
      <c r="E71" s="14" t="s">
        <v>41</v>
      </c>
      <c r="F71" s="12" t="s">
        <v>120</v>
      </c>
      <c r="G71" s="13">
        <f t="shared" si="0"/>
        <v>0</v>
      </c>
      <c r="H71" s="15"/>
      <c r="I71" s="15"/>
      <c r="J71" s="15"/>
      <c r="K71" s="31"/>
      <c r="L71" s="61"/>
      <c r="M71" s="49"/>
      <c r="P71" s="67">
        <v>380</v>
      </c>
    </row>
    <row r="72" spans="3:16" s="60" customFormat="1" ht="12.75" x14ac:dyDescent="0.2">
      <c r="C72" s="9"/>
      <c r="D72" s="10" t="s">
        <v>121</v>
      </c>
      <c r="E72" s="32" t="s">
        <v>44</v>
      </c>
      <c r="F72" s="12" t="s">
        <v>122</v>
      </c>
      <c r="G72" s="13">
        <f t="shared" si="0"/>
        <v>0</v>
      </c>
      <c r="H72" s="15"/>
      <c r="I72" s="15"/>
      <c r="J72" s="15"/>
      <c r="K72" s="15"/>
      <c r="L72" s="61"/>
      <c r="M72" s="49"/>
      <c r="P72" s="67"/>
    </row>
    <row r="73" spans="3:16" s="60" customFormat="1" ht="12.75" x14ac:dyDescent="0.2">
      <c r="C73" s="9"/>
      <c r="D73" s="10" t="s">
        <v>123</v>
      </c>
      <c r="E73" s="11" t="s">
        <v>47</v>
      </c>
      <c r="F73" s="33" t="s">
        <v>124</v>
      </c>
      <c r="G73" s="13">
        <f t="shared" si="0"/>
        <v>8.688154566210045</v>
      </c>
      <c r="H73" s="13">
        <f>H74+H76+H79+H83</f>
        <v>1.5506849315068493E-2</v>
      </c>
      <c r="I73" s="13">
        <f>I74+I76+I79+I83</f>
        <v>5.2124165525114154</v>
      </c>
      <c r="J73" s="13">
        <f>J74+J76+J79+J83</f>
        <v>2.1239513698630135</v>
      </c>
      <c r="K73" s="13">
        <f>K74+K76+K79+K83</f>
        <v>1.336279794520548</v>
      </c>
      <c r="L73" s="61"/>
      <c r="M73" s="49"/>
      <c r="P73" s="67">
        <v>390</v>
      </c>
    </row>
    <row r="74" spans="3:16" s="60" customFormat="1" ht="22.5" x14ac:dyDescent="0.2">
      <c r="C74" s="9"/>
      <c r="D74" s="10" t="s">
        <v>125</v>
      </c>
      <c r="E74" s="14" t="s">
        <v>50</v>
      </c>
      <c r="F74" s="12" t="s">
        <v>126</v>
      </c>
      <c r="G74" s="13">
        <f t="shared" si="0"/>
        <v>0</v>
      </c>
      <c r="H74" s="15"/>
      <c r="I74" s="15"/>
      <c r="J74" s="15"/>
      <c r="K74" s="15"/>
      <c r="L74" s="61"/>
      <c r="M74" s="49"/>
      <c r="P74" s="67"/>
    </row>
    <row r="75" spans="3:16" s="60" customFormat="1" ht="12.75" x14ac:dyDescent="0.2">
      <c r="C75" s="9"/>
      <c r="D75" s="10" t="s">
        <v>127</v>
      </c>
      <c r="E75" s="34" t="s">
        <v>53</v>
      </c>
      <c r="F75" s="12" t="s">
        <v>128</v>
      </c>
      <c r="G75" s="13">
        <f t="shared" si="0"/>
        <v>0</v>
      </c>
      <c r="H75" s="15"/>
      <c r="I75" s="15"/>
      <c r="J75" s="15"/>
      <c r="K75" s="15"/>
      <c r="L75" s="61"/>
      <c r="M75" s="49"/>
      <c r="P75" s="67"/>
    </row>
    <row r="76" spans="3:16" s="60" customFormat="1" ht="12.75" x14ac:dyDescent="0.2">
      <c r="C76" s="9"/>
      <c r="D76" s="10" t="s">
        <v>129</v>
      </c>
      <c r="E76" s="14" t="s">
        <v>56</v>
      </c>
      <c r="F76" s="12" t="s">
        <v>130</v>
      </c>
      <c r="G76" s="13">
        <f t="shared" si="0"/>
        <v>4.453245433789955</v>
      </c>
      <c r="H76" s="15">
        <f>H37/8760</f>
        <v>1.5506849315068493E-2</v>
      </c>
      <c r="I76" s="15">
        <f>I37/8760</f>
        <v>0.97750742009132463</v>
      </c>
      <c r="J76" s="15">
        <f>J37/8760</f>
        <v>2.1239513698630135</v>
      </c>
      <c r="K76" s="15">
        <f>K37/8760</f>
        <v>1.336279794520548</v>
      </c>
      <c r="L76" s="61"/>
      <c r="M76" s="49"/>
      <c r="P76" s="67"/>
    </row>
    <row r="77" spans="3:16" s="60" customFormat="1" ht="12.75" x14ac:dyDescent="0.2">
      <c r="C77" s="9"/>
      <c r="D77" s="10" t="s">
        <v>131</v>
      </c>
      <c r="E77" s="34" t="s">
        <v>59</v>
      </c>
      <c r="F77" s="12" t="s">
        <v>132</v>
      </c>
      <c r="G77" s="13">
        <f t="shared" si="0"/>
        <v>0</v>
      </c>
      <c r="H77" s="15"/>
      <c r="I77" s="15"/>
      <c r="J77" s="15"/>
      <c r="K77" s="15"/>
      <c r="L77" s="61"/>
      <c r="M77" s="49"/>
      <c r="P77" s="67"/>
    </row>
    <row r="78" spans="3:16" s="60" customFormat="1" ht="12.75" x14ac:dyDescent="0.2">
      <c r="C78" s="9"/>
      <c r="D78" s="10" t="s">
        <v>133</v>
      </c>
      <c r="E78" s="35" t="s">
        <v>53</v>
      </c>
      <c r="F78" s="12" t="s">
        <v>134</v>
      </c>
      <c r="G78" s="13">
        <f t="shared" si="0"/>
        <v>0</v>
      </c>
      <c r="H78" s="15"/>
      <c r="I78" s="15"/>
      <c r="J78" s="15"/>
      <c r="K78" s="15"/>
      <c r="L78" s="61"/>
      <c r="M78" s="49"/>
      <c r="P78" s="67"/>
    </row>
    <row r="79" spans="3:16" s="60" customFormat="1" ht="12.75" x14ac:dyDescent="0.2">
      <c r="C79" s="9"/>
      <c r="D79" s="10" t="s">
        <v>135</v>
      </c>
      <c r="E79" s="14" t="s">
        <v>64</v>
      </c>
      <c r="F79" s="12" t="s">
        <v>136</v>
      </c>
      <c r="G79" s="13">
        <f t="shared" si="0"/>
        <v>4.2349091324200909</v>
      </c>
      <c r="H79" s="13">
        <f>SUM(H80:H82)</f>
        <v>0</v>
      </c>
      <c r="I79" s="13">
        <f>SUM(I80:I82)</f>
        <v>4.2349091324200909</v>
      </c>
      <c r="J79" s="13">
        <f>SUM(J80:J82)</f>
        <v>0</v>
      </c>
      <c r="K79" s="13">
        <f>SUM(K80:K82)</f>
        <v>0</v>
      </c>
      <c r="L79" s="61"/>
      <c r="M79" s="49"/>
      <c r="P79" s="67"/>
    </row>
    <row r="80" spans="3:16" s="60" customFormat="1" ht="12.75" x14ac:dyDescent="0.2">
      <c r="C80" s="9"/>
      <c r="D80" s="16" t="s">
        <v>137</v>
      </c>
      <c r="E80" s="17"/>
      <c r="F80" s="18" t="s">
        <v>136</v>
      </c>
      <c r="G80" s="19"/>
      <c r="H80" s="19"/>
      <c r="I80" s="19"/>
      <c r="J80" s="19"/>
      <c r="K80" s="19"/>
      <c r="L80" s="61"/>
      <c r="M80" s="49"/>
      <c r="P80" s="67"/>
    </row>
    <row r="81" spans="3:16" s="60" customFormat="1" ht="15" x14ac:dyDescent="0.25">
      <c r="C81" s="24" t="s">
        <v>29</v>
      </c>
      <c r="D81" s="25" t="s">
        <v>138</v>
      </c>
      <c r="E81" s="26" t="s">
        <v>68</v>
      </c>
      <c r="F81" s="27">
        <v>1781</v>
      </c>
      <c r="G81" s="28">
        <f>SUM(H81:K81)</f>
        <v>4.2349091324200909</v>
      </c>
      <c r="H81" s="29"/>
      <c r="I81" s="29">
        <f>I42/8760</f>
        <v>4.2349091324200909</v>
      </c>
      <c r="J81" s="29"/>
      <c r="K81" s="30"/>
      <c r="L81" s="61"/>
      <c r="M81" s="69" t="s">
        <v>330</v>
      </c>
      <c r="N81" s="70" t="s">
        <v>331</v>
      </c>
      <c r="O81" s="70" t="s">
        <v>332</v>
      </c>
    </row>
    <row r="82" spans="3:16" s="60" customFormat="1" ht="12.75" x14ac:dyDescent="0.2">
      <c r="C82" s="9"/>
      <c r="D82" s="20"/>
      <c r="E82" s="21" t="s">
        <v>20</v>
      </c>
      <c r="F82" s="22"/>
      <c r="G82" s="22"/>
      <c r="H82" s="22"/>
      <c r="I82" s="22"/>
      <c r="J82" s="22"/>
      <c r="K82" s="23"/>
      <c r="L82" s="61"/>
      <c r="M82" s="49"/>
      <c r="P82" s="67"/>
    </row>
    <row r="83" spans="3:16" s="60" customFormat="1" ht="12.75" x14ac:dyDescent="0.2">
      <c r="C83" s="9"/>
      <c r="D83" s="10" t="s">
        <v>139</v>
      </c>
      <c r="E83" s="37" t="s">
        <v>70</v>
      </c>
      <c r="F83" s="12" t="s">
        <v>140</v>
      </c>
      <c r="G83" s="13">
        <f t="shared" si="0"/>
        <v>0</v>
      </c>
      <c r="H83" s="15"/>
      <c r="I83" s="15"/>
      <c r="J83" s="15"/>
      <c r="K83" s="15"/>
      <c r="L83" s="61"/>
      <c r="M83" s="49"/>
      <c r="P83" s="67">
        <v>410</v>
      </c>
    </row>
    <row r="84" spans="3:16" s="60" customFormat="1" ht="12.75" x14ac:dyDescent="0.2">
      <c r="C84" s="9"/>
      <c r="D84" s="10" t="s">
        <v>141</v>
      </c>
      <c r="E84" s="11" t="s">
        <v>73</v>
      </c>
      <c r="F84" s="12" t="s">
        <v>142</v>
      </c>
      <c r="G84" s="13">
        <f t="shared" si="0"/>
        <v>3.9715705479452068</v>
      </c>
      <c r="H84" s="15">
        <f>H45/8760</f>
        <v>1.2078939497716894</v>
      </c>
      <c r="I84" s="15">
        <f>I45/8760</f>
        <v>1.3491770547945208</v>
      </c>
      <c r="J84" s="15">
        <f>J45/8760</f>
        <v>1.414499543378996</v>
      </c>
      <c r="K84" s="15">
        <f>K45/8760</f>
        <v>4.0231643485960011E-16</v>
      </c>
      <c r="L84" s="61"/>
      <c r="M84" s="49"/>
      <c r="P84" s="67">
        <v>440</v>
      </c>
    </row>
    <row r="85" spans="3:16" s="60" customFormat="1" ht="12.75" x14ac:dyDescent="0.2">
      <c r="C85" s="9"/>
      <c r="D85" s="10" t="s">
        <v>143</v>
      </c>
      <c r="E85" s="11" t="s">
        <v>76</v>
      </c>
      <c r="F85" s="12" t="s">
        <v>144</v>
      </c>
      <c r="G85" s="13">
        <f t="shared" si="0"/>
        <v>0</v>
      </c>
      <c r="H85" s="15"/>
      <c r="I85" s="15"/>
      <c r="J85" s="15"/>
      <c r="K85" s="15"/>
      <c r="L85" s="61"/>
      <c r="M85" s="49"/>
      <c r="P85" s="67">
        <v>450</v>
      </c>
    </row>
    <row r="86" spans="3:16" s="60" customFormat="1" ht="12.75" x14ac:dyDescent="0.2">
      <c r="C86" s="9"/>
      <c r="D86" s="10" t="s">
        <v>145</v>
      </c>
      <c r="E86" s="11" t="s">
        <v>79</v>
      </c>
      <c r="F86" s="12" t="s">
        <v>146</v>
      </c>
      <c r="G86" s="13">
        <f t="shared" si="0"/>
        <v>0</v>
      </c>
      <c r="H86" s="15"/>
      <c r="I86" s="15"/>
      <c r="J86" s="15"/>
      <c r="K86" s="15"/>
      <c r="L86" s="61"/>
      <c r="M86" s="49"/>
      <c r="P86" s="67">
        <v>470</v>
      </c>
    </row>
    <row r="87" spans="3:16" s="60" customFormat="1" ht="12.75" x14ac:dyDescent="0.2">
      <c r="C87" s="9"/>
      <c r="D87" s="10" t="s">
        <v>147</v>
      </c>
      <c r="E87" s="11" t="s">
        <v>82</v>
      </c>
      <c r="F87" s="12" t="s">
        <v>148</v>
      </c>
      <c r="G87" s="13">
        <f t="shared" si="0"/>
        <v>0.21507568493150686</v>
      </c>
      <c r="H87" s="15">
        <f>H48/8760</f>
        <v>1.3984018264840184E-4</v>
      </c>
      <c r="I87" s="15">
        <f>I48/8760</f>
        <v>6.7685958904109583E-2</v>
      </c>
      <c r="J87" s="15">
        <f>J48/8760</f>
        <v>6.9030136986301366E-2</v>
      </c>
      <c r="K87" s="15">
        <f>K48/8760</f>
        <v>7.8219748858447499E-2</v>
      </c>
      <c r="L87" s="61"/>
      <c r="M87" s="49"/>
      <c r="P87" s="67">
        <v>480</v>
      </c>
    </row>
    <row r="88" spans="3:16" s="60" customFormat="1" ht="12.75" x14ac:dyDescent="0.2">
      <c r="C88" s="9"/>
      <c r="D88" s="10" t="s">
        <v>149</v>
      </c>
      <c r="E88" s="14" t="s">
        <v>150</v>
      </c>
      <c r="F88" s="12" t="s">
        <v>151</v>
      </c>
      <c r="G88" s="13">
        <f t="shared" si="0"/>
        <v>0</v>
      </c>
      <c r="H88" s="15"/>
      <c r="I88" s="15"/>
      <c r="J88" s="15"/>
      <c r="K88" s="15"/>
      <c r="L88" s="61"/>
      <c r="M88" s="49"/>
      <c r="P88" s="67">
        <v>490</v>
      </c>
    </row>
    <row r="89" spans="3:16" s="60" customFormat="1" ht="22.5" x14ac:dyDescent="0.2">
      <c r="C89" s="9"/>
      <c r="D89" s="10" t="s">
        <v>152</v>
      </c>
      <c r="E89" s="11" t="s">
        <v>88</v>
      </c>
      <c r="F89" s="12" t="s">
        <v>153</v>
      </c>
      <c r="G89" s="13">
        <f t="shared" si="0"/>
        <v>0.20541666666666666</v>
      </c>
      <c r="H89" s="15"/>
      <c r="I89" s="15">
        <f>I50/8760</f>
        <v>5.0696833333333337E-2</v>
      </c>
      <c r="J89" s="15">
        <f>J50/8760</f>
        <v>6.7602625E-2</v>
      </c>
      <c r="K89" s="15">
        <f>K50/8760</f>
        <v>8.7117208333333335E-2</v>
      </c>
      <c r="L89" s="61"/>
      <c r="M89" s="49"/>
      <c r="P89" s="67"/>
    </row>
    <row r="90" spans="3:16" s="60" customFormat="1" ht="33.75" x14ac:dyDescent="0.2">
      <c r="C90" s="9"/>
      <c r="D90" s="10" t="s">
        <v>154</v>
      </c>
      <c r="E90" s="32" t="s">
        <v>91</v>
      </c>
      <c r="F90" s="12" t="s">
        <v>155</v>
      </c>
      <c r="G90" s="13">
        <f t="shared" si="0"/>
        <v>9.6590182648401794E-3</v>
      </c>
      <c r="H90" s="13">
        <f>H87-H89</f>
        <v>1.3984018264840184E-4</v>
      </c>
      <c r="I90" s="13">
        <f>I87-I89</f>
        <v>1.6989125570776246E-2</v>
      </c>
      <c r="J90" s="13">
        <f>J87-J89</f>
        <v>1.4275119863013663E-3</v>
      </c>
      <c r="K90" s="13">
        <f>K87-K89</f>
        <v>-8.8974594748858354E-3</v>
      </c>
      <c r="L90" s="61"/>
      <c r="M90" s="49"/>
      <c r="P90" s="67"/>
    </row>
    <row r="91" spans="3:16" s="60" customFormat="1" ht="12.75" x14ac:dyDescent="0.2">
      <c r="C91" s="9"/>
      <c r="D91" s="10" t="s">
        <v>156</v>
      </c>
      <c r="E91" s="11" t="s">
        <v>94</v>
      </c>
      <c r="F91" s="12" t="s">
        <v>157</v>
      </c>
      <c r="G91" s="13">
        <f t="shared" si="0"/>
        <v>0</v>
      </c>
      <c r="H91" s="13">
        <f>(H54+H67+H72)-(H73+H84+H85+H86+H87)</f>
        <v>0</v>
      </c>
      <c r="I91" s="13">
        <f>(I54+I67+I72)-(I73+I84+I85+I86+I87)</f>
        <v>0</v>
      </c>
      <c r="J91" s="13">
        <f>(J54+J67+J72)-(J73+J84+J85+J86+J87)</f>
        <v>0</v>
      </c>
      <c r="K91" s="13">
        <f>(K54+K67+K72)-(K73+K84+K85+K86+K87)</f>
        <v>0</v>
      </c>
      <c r="L91" s="61"/>
      <c r="M91" s="49"/>
      <c r="P91" s="67">
        <v>500</v>
      </c>
    </row>
    <row r="92" spans="3:16" s="60" customFormat="1" ht="12.75" x14ac:dyDescent="0.2">
      <c r="C92" s="9"/>
      <c r="D92" s="99" t="s">
        <v>158</v>
      </c>
      <c r="E92" s="100"/>
      <c r="F92" s="100"/>
      <c r="G92" s="100"/>
      <c r="H92" s="100"/>
      <c r="I92" s="100"/>
      <c r="J92" s="100"/>
      <c r="K92" s="101"/>
      <c r="L92" s="61"/>
      <c r="M92" s="49"/>
      <c r="P92" s="68"/>
    </row>
    <row r="93" spans="3:16" s="60" customFormat="1" ht="12.75" x14ac:dyDescent="0.2">
      <c r="C93" s="9"/>
      <c r="D93" s="10" t="s">
        <v>159</v>
      </c>
      <c r="E93" s="11" t="s">
        <v>160</v>
      </c>
      <c r="F93" s="12" t="s">
        <v>161</v>
      </c>
      <c r="G93" s="13">
        <f t="shared" si="0"/>
        <v>0</v>
      </c>
      <c r="H93" s="15"/>
      <c r="I93" s="15"/>
      <c r="J93" s="15"/>
      <c r="K93" s="15"/>
      <c r="L93" s="61"/>
      <c r="M93" s="49"/>
      <c r="P93" s="67">
        <v>600</v>
      </c>
    </row>
    <row r="94" spans="3:16" s="60" customFormat="1" ht="12.75" x14ac:dyDescent="0.2">
      <c r="C94" s="9"/>
      <c r="D94" s="10" t="s">
        <v>162</v>
      </c>
      <c r="E94" s="11" t="s">
        <v>163</v>
      </c>
      <c r="F94" s="12" t="s">
        <v>164</v>
      </c>
      <c r="G94" s="13">
        <f t="shared" si="0"/>
        <v>44.622999999999998</v>
      </c>
      <c r="H94" s="15"/>
      <c r="I94" s="15">
        <v>44.622999999999998</v>
      </c>
      <c r="J94" s="15"/>
      <c r="K94" s="15"/>
      <c r="L94" s="61"/>
      <c r="M94" s="49"/>
      <c r="P94" s="67">
        <v>610</v>
      </c>
    </row>
    <row r="95" spans="3:16" s="60" customFormat="1" ht="12.75" x14ac:dyDescent="0.2">
      <c r="C95" s="9"/>
      <c r="D95" s="10" t="s">
        <v>165</v>
      </c>
      <c r="E95" s="11" t="s">
        <v>166</v>
      </c>
      <c r="F95" s="12" t="s">
        <v>167</v>
      </c>
      <c r="G95" s="13">
        <f t="shared" si="0"/>
        <v>0</v>
      </c>
      <c r="H95" s="15"/>
      <c r="I95" s="15"/>
      <c r="J95" s="15"/>
      <c r="K95" s="15"/>
      <c r="L95" s="61"/>
      <c r="M95" s="49"/>
      <c r="P95" s="67">
        <v>620</v>
      </c>
    </row>
    <row r="96" spans="3:16" s="60" customFormat="1" ht="12.75" x14ac:dyDescent="0.2">
      <c r="C96" s="9"/>
      <c r="D96" s="99" t="s">
        <v>168</v>
      </c>
      <c r="E96" s="100"/>
      <c r="F96" s="100"/>
      <c r="G96" s="100"/>
      <c r="H96" s="100"/>
      <c r="I96" s="100"/>
      <c r="J96" s="100"/>
      <c r="K96" s="101"/>
      <c r="L96" s="61"/>
      <c r="M96" s="49"/>
      <c r="P96" s="68"/>
    </row>
    <row r="97" spans="3:16" s="60" customFormat="1" ht="12.75" x14ac:dyDescent="0.2">
      <c r="C97" s="9"/>
      <c r="D97" s="10" t="s">
        <v>169</v>
      </c>
      <c r="E97" s="11" t="s">
        <v>170</v>
      </c>
      <c r="F97" s="12" t="s">
        <v>171</v>
      </c>
      <c r="G97" s="13">
        <f t="shared" si="0"/>
        <v>0</v>
      </c>
      <c r="H97" s="13">
        <f>SUM(H98:H99)</f>
        <v>0</v>
      </c>
      <c r="I97" s="13">
        <f>SUM(I98:I99)</f>
        <v>0</v>
      </c>
      <c r="J97" s="13">
        <f>SUM(J98:J99)</f>
        <v>0</v>
      </c>
      <c r="K97" s="13">
        <f>SUM(K98:K99)</f>
        <v>0</v>
      </c>
      <c r="L97" s="61"/>
      <c r="M97" s="49"/>
      <c r="P97" s="67">
        <v>700</v>
      </c>
    </row>
    <row r="98" spans="3:16" ht="12.75" x14ac:dyDescent="0.2">
      <c r="C98" s="5"/>
      <c r="D98" s="39" t="s">
        <v>172</v>
      </c>
      <c r="E98" s="14" t="s">
        <v>173</v>
      </c>
      <c r="F98" s="12" t="s">
        <v>174</v>
      </c>
      <c r="G98" s="13">
        <f t="shared" si="0"/>
        <v>0</v>
      </c>
      <c r="H98" s="40"/>
      <c r="I98" s="40"/>
      <c r="J98" s="40"/>
      <c r="K98" s="40"/>
      <c r="L98" s="59"/>
      <c r="M98" s="49"/>
      <c r="P98" s="67">
        <v>710</v>
      </c>
    </row>
    <row r="99" spans="3:16" ht="12.75" x14ac:dyDescent="0.2">
      <c r="C99" s="5"/>
      <c r="D99" s="39" t="s">
        <v>175</v>
      </c>
      <c r="E99" s="14" t="s">
        <v>176</v>
      </c>
      <c r="F99" s="12" t="s">
        <v>177</v>
      </c>
      <c r="G99" s="13">
        <f t="shared" si="0"/>
        <v>0</v>
      </c>
      <c r="H99" s="41">
        <f>H102</f>
        <v>0</v>
      </c>
      <c r="I99" s="41">
        <f>I102</f>
        <v>0</v>
      </c>
      <c r="J99" s="41">
        <f>J102</f>
        <v>0</v>
      </c>
      <c r="K99" s="41">
        <f>K102</f>
        <v>0</v>
      </c>
      <c r="L99" s="59"/>
      <c r="M99" s="49"/>
      <c r="P99" s="67">
        <v>720</v>
      </c>
    </row>
    <row r="100" spans="3:16" ht="12.75" x14ac:dyDescent="0.2">
      <c r="C100" s="5"/>
      <c r="D100" s="39" t="s">
        <v>178</v>
      </c>
      <c r="E100" s="34" t="s">
        <v>179</v>
      </c>
      <c r="F100" s="12" t="s">
        <v>180</v>
      </c>
      <c r="G100" s="13">
        <f t="shared" si="0"/>
        <v>0</v>
      </c>
      <c r="H100" s="40"/>
      <c r="I100" s="40"/>
      <c r="J100" s="40"/>
      <c r="K100" s="40"/>
      <c r="L100" s="59"/>
      <c r="M100" s="49"/>
      <c r="P100" s="67">
        <v>730</v>
      </c>
    </row>
    <row r="101" spans="3:16" ht="12.75" x14ac:dyDescent="0.2">
      <c r="C101" s="5"/>
      <c r="D101" s="39" t="s">
        <v>181</v>
      </c>
      <c r="E101" s="35" t="s">
        <v>182</v>
      </c>
      <c r="F101" s="12" t="s">
        <v>183</v>
      </c>
      <c r="G101" s="13">
        <f t="shared" si="0"/>
        <v>0</v>
      </c>
      <c r="H101" s="40"/>
      <c r="I101" s="40"/>
      <c r="J101" s="40"/>
      <c r="K101" s="40"/>
      <c r="L101" s="59"/>
      <c r="M101" s="49"/>
      <c r="P101" s="67"/>
    </row>
    <row r="102" spans="3:16" ht="12.75" x14ac:dyDescent="0.2">
      <c r="C102" s="5"/>
      <c r="D102" s="39" t="s">
        <v>184</v>
      </c>
      <c r="E102" s="34" t="s">
        <v>185</v>
      </c>
      <c r="F102" s="12" t="s">
        <v>186</v>
      </c>
      <c r="G102" s="13">
        <f t="shared" si="0"/>
        <v>0</v>
      </c>
      <c r="H102" s="40"/>
      <c r="I102" s="40"/>
      <c r="J102" s="40"/>
      <c r="K102" s="40"/>
      <c r="L102" s="59"/>
      <c r="M102" s="49"/>
      <c r="P102" s="67">
        <v>740</v>
      </c>
    </row>
    <row r="103" spans="3:16" ht="12.75" x14ac:dyDescent="0.2">
      <c r="C103" s="5"/>
      <c r="D103" s="39" t="s">
        <v>187</v>
      </c>
      <c r="E103" s="11" t="s">
        <v>188</v>
      </c>
      <c r="F103" s="12" t="s">
        <v>189</v>
      </c>
      <c r="G103" s="13">
        <f t="shared" si="0"/>
        <v>0</v>
      </c>
      <c r="H103" s="41">
        <f>H104+H120</f>
        <v>0</v>
      </c>
      <c r="I103" s="41">
        <f>I104+I120</f>
        <v>0</v>
      </c>
      <c r="J103" s="41">
        <f>J104+J120</f>
        <v>0</v>
      </c>
      <c r="K103" s="41">
        <f>K104+K120</f>
        <v>0</v>
      </c>
      <c r="L103" s="59"/>
      <c r="M103" s="49"/>
      <c r="P103" s="67">
        <v>750</v>
      </c>
    </row>
    <row r="104" spans="3:16" ht="12.75" x14ac:dyDescent="0.2">
      <c r="C104" s="5"/>
      <c r="D104" s="39" t="s">
        <v>190</v>
      </c>
      <c r="E104" s="14" t="s">
        <v>191</v>
      </c>
      <c r="F104" s="12" t="s">
        <v>192</v>
      </c>
      <c r="G104" s="13">
        <f t="shared" si="0"/>
        <v>0</v>
      </c>
      <c r="H104" s="41">
        <f>H105+H106</f>
        <v>0</v>
      </c>
      <c r="I104" s="41">
        <f>I105+I106</f>
        <v>0</v>
      </c>
      <c r="J104" s="41">
        <f>J105+J106</f>
        <v>0</v>
      </c>
      <c r="K104" s="41">
        <f>K105+K106</f>
        <v>0</v>
      </c>
      <c r="L104" s="59"/>
      <c r="M104" s="49"/>
      <c r="P104" s="67">
        <v>760</v>
      </c>
    </row>
    <row r="105" spans="3:16" ht="12.75" x14ac:dyDescent="0.2">
      <c r="C105" s="5"/>
      <c r="D105" s="39" t="s">
        <v>193</v>
      </c>
      <c r="E105" s="34" t="s">
        <v>194</v>
      </c>
      <c r="F105" s="12" t="s">
        <v>195</v>
      </c>
      <c r="G105" s="13">
        <f t="shared" si="0"/>
        <v>0</v>
      </c>
      <c r="H105" s="40"/>
      <c r="I105" s="40"/>
      <c r="J105" s="40"/>
      <c r="K105" s="40"/>
      <c r="L105" s="59"/>
      <c r="M105" s="49"/>
      <c r="P105" s="67"/>
    </row>
    <row r="106" spans="3:16" ht="12.75" x14ac:dyDescent="0.2">
      <c r="C106" s="5"/>
      <c r="D106" s="39" t="s">
        <v>196</v>
      </c>
      <c r="E106" s="34" t="s">
        <v>197</v>
      </c>
      <c r="F106" s="12" t="s">
        <v>198</v>
      </c>
      <c r="G106" s="13">
        <f t="shared" si="0"/>
        <v>0</v>
      </c>
      <c r="H106" s="41">
        <f>H107+H110+H113+H116+H117+H118+H119</f>
        <v>0</v>
      </c>
      <c r="I106" s="41">
        <f>I107+I110+I113+I116+I117+I118+I119</f>
        <v>0</v>
      </c>
      <c r="J106" s="41">
        <f>J107+J110+J113+J116+J117+J118+J119</f>
        <v>0</v>
      </c>
      <c r="K106" s="41">
        <f>K107+K110+K113+K116+K117+K118+K119</f>
        <v>0</v>
      </c>
      <c r="L106" s="59"/>
      <c r="M106" s="49"/>
      <c r="P106" s="67"/>
    </row>
    <row r="107" spans="3:16" ht="45" x14ac:dyDescent="0.2">
      <c r="C107" s="5"/>
      <c r="D107" s="39" t="s">
        <v>199</v>
      </c>
      <c r="E107" s="35" t="s">
        <v>200</v>
      </c>
      <c r="F107" s="12" t="s">
        <v>201</v>
      </c>
      <c r="G107" s="13">
        <f t="shared" si="0"/>
        <v>0</v>
      </c>
      <c r="H107" s="42">
        <f>H108+H109</f>
        <v>0</v>
      </c>
      <c r="I107" s="42">
        <f>I108+I109</f>
        <v>0</v>
      </c>
      <c r="J107" s="42">
        <f>J108+J109</f>
        <v>0</v>
      </c>
      <c r="K107" s="42">
        <f>K108+K109</f>
        <v>0</v>
      </c>
      <c r="L107" s="59"/>
      <c r="M107" s="49"/>
      <c r="P107" s="67"/>
    </row>
    <row r="108" spans="3:16" ht="12.75" x14ac:dyDescent="0.2">
      <c r="C108" s="5"/>
      <c r="D108" s="39" t="s">
        <v>202</v>
      </c>
      <c r="E108" s="43" t="s">
        <v>203</v>
      </c>
      <c r="F108" s="12" t="s">
        <v>204</v>
      </c>
      <c r="G108" s="13">
        <f t="shared" si="0"/>
        <v>0</v>
      </c>
      <c r="H108" s="40"/>
      <c r="I108" s="40"/>
      <c r="J108" s="40"/>
      <c r="K108" s="40"/>
      <c r="L108" s="59"/>
      <c r="M108" s="49"/>
      <c r="P108" s="67"/>
    </row>
    <row r="109" spans="3:16" ht="12.75" x14ac:dyDescent="0.2">
      <c r="C109" s="5"/>
      <c r="D109" s="39" t="s">
        <v>205</v>
      </c>
      <c r="E109" s="43" t="s">
        <v>206</v>
      </c>
      <c r="F109" s="12" t="s">
        <v>207</v>
      </c>
      <c r="G109" s="13">
        <f t="shared" si="0"/>
        <v>0</v>
      </c>
      <c r="H109" s="40"/>
      <c r="I109" s="40"/>
      <c r="J109" s="40"/>
      <c r="K109" s="40"/>
      <c r="L109" s="59"/>
      <c r="M109" s="49"/>
      <c r="P109" s="67"/>
    </row>
    <row r="110" spans="3:16" ht="45" x14ac:dyDescent="0.2">
      <c r="C110" s="5"/>
      <c r="D110" s="39" t="s">
        <v>208</v>
      </c>
      <c r="E110" s="35" t="s">
        <v>209</v>
      </c>
      <c r="F110" s="12" t="s">
        <v>210</v>
      </c>
      <c r="G110" s="13">
        <f t="shared" si="0"/>
        <v>0</v>
      </c>
      <c r="H110" s="42">
        <f>H111+H112</f>
        <v>0</v>
      </c>
      <c r="I110" s="42">
        <f>I111+I112</f>
        <v>0</v>
      </c>
      <c r="J110" s="42">
        <f>J111+J112</f>
        <v>0</v>
      </c>
      <c r="K110" s="42">
        <f>K111+K112</f>
        <v>0</v>
      </c>
      <c r="L110" s="59"/>
      <c r="M110" s="49"/>
      <c r="P110" s="67"/>
    </row>
    <row r="111" spans="3:16" ht="12.75" x14ac:dyDescent="0.2">
      <c r="C111" s="5"/>
      <c r="D111" s="39" t="s">
        <v>211</v>
      </c>
      <c r="E111" s="43" t="s">
        <v>203</v>
      </c>
      <c r="F111" s="12" t="s">
        <v>212</v>
      </c>
      <c r="G111" s="13">
        <f t="shared" si="0"/>
        <v>0</v>
      </c>
      <c r="H111" s="40"/>
      <c r="I111" s="40"/>
      <c r="J111" s="40"/>
      <c r="K111" s="40"/>
      <c r="L111" s="59"/>
      <c r="M111" s="49"/>
      <c r="P111" s="67"/>
    </row>
    <row r="112" spans="3:16" ht="12.75" x14ac:dyDescent="0.2">
      <c r="C112" s="5"/>
      <c r="D112" s="39" t="s">
        <v>213</v>
      </c>
      <c r="E112" s="43" t="s">
        <v>206</v>
      </c>
      <c r="F112" s="12" t="s">
        <v>214</v>
      </c>
      <c r="G112" s="13">
        <f t="shared" si="0"/>
        <v>0</v>
      </c>
      <c r="H112" s="40"/>
      <c r="I112" s="40"/>
      <c r="J112" s="40"/>
      <c r="K112" s="40"/>
      <c r="L112" s="59"/>
      <c r="M112" s="49"/>
      <c r="P112" s="67"/>
    </row>
    <row r="113" spans="3:16" ht="22.5" x14ac:dyDescent="0.2">
      <c r="C113" s="5"/>
      <c r="D113" s="39" t="s">
        <v>215</v>
      </c>
      <c r="E113" s="35" t="s">
        <v>216</v>
      </c>
      <c r="F113" s="12" t="s">
        <v>217</v>
      </c>
      <c r="G113" s="13">
        <f t="shared" si="0"/>
        <v>0</v>
      </c>
      <c r="H113" s="42">
        <f>H114+H115</f>
        <v>0</v>
      </c>
      <c r="I113" s="42">
        <f>I114+I115</f>
        <v>0</v>
      </c>
      <c r="J113" s="42">
        <f>J114+J115</f>
        <v>0</v>
      </c>
      <c r="K113" s="42">
        <f>K114+K115</f>
        <v>0</v>
      </c>
      <c r="L113" s="59"/>
      <c r="M113" s="49"/>
      <c r="P113" s="67"/>
    </row>
    <row r="114" spans="3:16" ht="12.75" x14ac:dyDescent="0.2">
      <c r="C114" s="5"/>
      <c r="D114" s="39" t="s">
        <v>218</v>
      </c>
      <c r="E114" s="43" t="s">
        <v>203</v>
      </c>
      <c r="F114" s="12" t="s">
        <v>219</v>
      </c>
      <c r="G114" s="13">
        <f t="shared" si="0"/>
        <v>0</v>
      </c>
      <c r="H114" s="40"/>
      <c r="I114" s="40"/>
      <c r="J114" s="40"/>
      <c r="K114" s="40"/>
      <c r="L114" s="59"/>
      <c r="M114" s="49"/>
      <c r="P114" s="67"/>
    </row>
    <row r="115" spans="3:16" ht="12.75" x14ac:dyDescent="0.2">
      <c r="C115" s="5"/>
      <c r="D115" s="39" t="s">
        <v>220</v>
      </c>
      <c r="E115" s="43" t="s">
        <v>206</v>
      </c>
      <c r="F115" s="12" t="s">
        <v>221</v>
      </c>
      <c r="G115" s="13">
        <f t="shared" si="0"/>
        <v>0</v>
      </c>
      <c r="H115" s="40"/>
      <c r="I115" s="40"/>
      <c r="J115" s="40"/>
      <c r="K115" s="40"/>
      <c r="L115" s="59"/>
      <c r="M115" s="49"/>
      <c r="P115" s="67"/>
    </row>
    <row r="116" spans="3:16" ht="22.5" x14ac:dyDescent="0.2">
      <c r="C116" s="5"/>
      <c r="D116" s="39" t="s">
        <v>222</v>
      </c>
      <c r="E116" s="35" t="s">
        <v>223</v>
      </c>
      <c r="F116" s="12" t="s">
        <v>224</v>
      </c>
      <c r="G116" s="13">
        <f t="shared" si="0"/>
        <v>0</v>
      </c>
      <c r="H116" s="40"/>
      <c r="I116" s="40"/>
      <c r="J116" s="40"/>
      <c r="K116" s="40"/>
      <c r="L116" s="59"/>
      <c r="M116" s="49"/>
      <c r="P116" s="67"/>
    </row>
    <row r="117" spans="3:16" ht="12.75" x14ac:dyDescent="0.2">
      <c r="C117" s="5"/>
      <c r="D117" s="39" t="s">
        <v>225</v>
      </c>
      <c r="E117" s="35" t="s">
        <v>226</v>
      </c>
      <c r="F117" s="12" t="s">
        <v>227</v>
      </c>
      <c r="G117" s="13">
        <f t="shared" si="0"/>
        <v>0</v>
      </c>
      <c r="H117" s="40"/>
      <c r="I117" s="40"/>
      <c r="J117" s="40"/>
      <c r="K117" s="40"/>
      <c r="L117" s="59"/>
      <c r="M117" s="49"/>
      <c r="P117" s="67"/>
    </row>
    <row r="118" spans="3:16" ht="45" x14ac:dyDescent="0.2">
      <c r="C118" s="5"/>
      <c r="D118" s="39" t="s">
        <v>228</v>
      </c>
      <c r="E118" s="35" t="s">
        <v>229</v>
      </c>
      <c r="F118" s="12" t="s">
        <v>230</v>
      </c>
      <c r="G118" s="13">
        <f t="shared" si="0"/>
        <v>0</v>
      </c>
      <c r="H118" s="40"/>
      <c r="I118" s="40"/>
      <c r="J118" s="40"/>
      <c r="K118" s="40"/>
      <c r="L118" s="59"/>
      <c r="M118" s="49"/>
      <c r="P118" s="67"/>
    </row>
    <row r="119" spans="3:16" ht="22.5" x14ac:dyDescent="0.2">
      <c r="C119" s="5"/>
      <c r="D119" s="39" t="s">
        <v>231</v>
      </c>
      <c r="E119" s="35" t="s">
        <v>232</v>
      </c>
      <c r="F119" s="12" t="s">
        <v>233</v>
      </c>
      <c r="G119" s="13">
        <f t="shared" si="0"/>
        <v>0</v>
      </c>
      <c r="H119" s="40"/>
      <c r="I119" s="40"/>
      <c r="J119" s="40"/>
      <c r="K119" s="40"/>
      <c r="L119" s="59"/>
      <c r="M119" s="49"/>
      <c r="P119" s="67"/>
    </row>
    <row r="120" spans="3:16" ht="12.75" x14ac:dyDescent="0.2">
      <c r="C120" s="5"/>
      <c r="D120" s="39" t="s">
        <v>234</v>
      </c>
      <c r="E120" s="14" t="s">
        <v>235</v>
      </c>
      <c r="F120" s="12" t="s">
        <v>236</v>
      </c>
      <c r="G120" s="13">
        <f t="shared" si="0"/>
        <v>0</v>
      </c>
      <c r="H120" s="41">
        <f>H123</f>
        <v>0</v>
      </c>
      <c r="I120" s="41">
        <f>I123</f>
        <v>0</v>
      </c>
      <c r="J120" s="41">
        <f>J123</f>
        <v>0</v>
      </c>
      <c r="K120" s="41">
        <f>K123</f>
        <v>0</v>
      </c>
      <c r="L120" s="59"/>
      <c r="M120" s="49"/>
      <c r="P120" s="67">
        <v>770</v>
      </c>
    </row>
    <row r="121" spans="3:16" ht="12.75" x14ac:dyDescent="0.2">
      <c r="C121" s="5"/>
      <c r="D121" s="39" t="s">
        <v>237</v>
      </c>
      <c r="E121" s="34" t="s">
        <v>179</v>
      </c>
      <c r="F121" s="12" t="s">
        <v>238</v>
      </c>
      <c r="G121" s="13">
        <f t="shared" si="0"/>
        <v>0</v>
      </c>
      <c r="H121" s="40"/>
      <c r="I121" s="40"/>
      <c r="J121" s="40"/>
      <c r="K121" s="40"/>
      <c r="L121" s="59"/>
      <c r="M121" s="49"/>
      <c r="P121" s="67">
        <v>780</v>
      </c>
    </row>
    <row r="122" spans="3:16" ht="12.75" x14ac:dyDescent="0.2">
      <c r="C122" s="5"/>
      <c r="D122" s="39" t="s">
        <v>239</v>
      </c>
      <c r="E122" s="35" t="s">
        <v>240</v>
      </c>
      <c r="F122" s="12" t="s">
        <v>241</v>
      </c>
      <c r="G122" s="13">
        <f t="shared" si="0"/>
        <v>0</v>
      </c>
      <c r="H122" s="40"/>
      <c r="I122" s="40"/>
      <c r="J122" s="40"/>
      <c r="K122" s="40"/>
      <c r="L122" s="59"/>
      <c r="M122" s="49"/>
      <c r="P122" s="67"/>
    </row>
    <row r="123" spans="3:16" ht="12.75" x14ac:dyDescent="0.2">
      <c r="C123" s="5"/>
      <c r="D123" s="39" t="s">
        <v>242</v>
      </c>
      <c r="E123" s="34" t="s">
        <v>185</v>
      </c>
      <c r="F123" s="12" t="s">
        <v>243</v>
      </c>
      <c r="G123" s="13">
        <f t="shared" si="0"/>
        <v>0</v>
      </c>
      <c r="H123" s="40"/>
      <c r="I123" s="40"/>
      <c r="J123" s="40"/>
      <c r="K123" s="40"/>
      <c r="L123" s="59"/>
      <c r="M123" s="49"/>
      <c r="P123" s="67">
        <v>790</v>
      </c>
    </row>
    <row r="124" spans="3:16" ht="22.5" x14ac:dyDescent="0.2">
      <c r="C124" s="5"/>
      <c r="D124" s="39" t="s">
        <v>244</v>
      </c>
      <c r="E124" s="32" t="s">
        <v>245</v>
      </c>
      <c r="F124" s="12" t="s">
        <v>246</v>
      </c>
      <c r="G124" s="13">
        <f t="shared" si="0"/>
        <v>77992.297000000006</v>
      </c>
      <c r="H124" s="41">
        <f>SUM(H125:H126)</f>
        <v>137.065</v>
      </c>
      <c r="I124" s="41">
        <f>SUM(I125:I126)</f>
        <v>47410.266000000003</v>
      </c>
      <c r="J124" s="41">
        <f>SUM(J125:J126)</f>
        <v>18739.154999999999</v>
      </c>
      <c r="K124" s="41">
        <f>SUM(K125:K126)</f>
        <v>11705.811</v>
      </c>
      <c r="L124" s="59"/>
      <c r="M124" s="49"/>
      <c r="P124" s="67"/>
    </row>
    <row r="125" spans="3:16" ht="12.75" x14ac:dyDescent="0.2">
      <c r="C125" s="5"/>
      <c r="D125" s="39" t="s">
        <v>247</v>
      </c>
      <c r="E125" s="14" t="s">
        <v>173</v>
      </c>
      <c r="F125" s="12" t="s">
        <v>248</v>
      </c>
      <c r="G125" s="13">
        <f t="shared" si="0"/>
        <v>0</v>
      </c>
      <c r="H125" s="40"/>
      <c r="I125" s="40"/>
      <c r="J125" s="40"/>
      <c r="K125" s="40"/>
      <c r="L125" s="59"/>
      <c r="M125" s="49"/>
      <c r="P125" s="67"/>
    </row>
    <row r="126" spans="3:16" ht="12.75" x14ac:dyDescent="0.2">
      <c r="C126" s="5"/>
      <c r="D126" s="39" t="s">
        <v>249</v>
      </c>
      <c r="E126" s="14" t="s">
        <v>176</v>
      </c>
      <c r="F126" s="12" t="s">
        <v>250</v>
      </c>
      <c r="G126" s="13">
        <f t="shared" si="0"/>
        <v>77992.297000000006</v>
      </c>
      <c r="H126" s="41">
        <f>H128</f>
        <v>137.065</v>
      </c>
      <c r="I126" s="41">
        <f>I128</f>
        <v>47410.266000000003</v>
      </c>
      <c r="J126" s="41">
        <f>J128</f>
        <v>18739.154999999999</v>
      </c>
      <c r="K126" s="41">
        <f>K128</f>
        <v>11705.811</v>
      </c>
      <c r="L126" s="59"/>
      <c r="M126" s="49"/>
      <c r="P126" s="67"/>
    </row>
    <row r="127" spans="3:16" ht="12.75" x14ac:dyDescent="0.2">
      <c r="C127" s="5"/>
      <c r="D127" s="39" t="s">
        <v>251</v>
      </c>
      <c r="E127" s="34" t="s">
        <v>252</v>
      </c>
      <c r="F127" s="12" t="s">
        <v>253</v>
      </c>
      <c r="G127" s="13">
        <f t="shared" si="0"/>
        <v>44.622999999999998</v>
      </c>
      <c r="H127" s="40"/>
      <c r="I127" s="40">
        <f>I94</f>
        <v>44.622999999999998</v>
      </c>
      <c r="J127" s="40"/>
      <c r="K127" s="40"/>
      <c r="L127" s="59"/>
      <c r="M127" s="49"/>
      <c r="P127" s="67"/>
    </row>
    <row r="128" spans="3:16" ht="12.75" x14ac:dyDescent="0.2">
      <c r="C128" s="5"/>
      <c r="D128" s="39" t="s">
        <v>254</v>
      </c>
      <c r="E128" s="34" t="s">
        <v>185</v>
      </c>
      <c r="F128" s="12" t="s">
        <v>255</v>
      </c>
      <c r="G128" s="13">
        <f t="shared" si="0"/>
        <v>77992.297000000006</v>
      </c>
      <c r="H128" s="40">
        <f>H48+H34</f>
        <v>137.065</v>
      </c>
      <c r="I128" s="40">
        <f>I34+1749.497</f>
        <v>47410.266000000003</v>
      </c>
      <c r="J128" s="40">
        <f>J34+38.721+94.62</f>
        <v>18739.154999999999</v>
      </c>
      <c r="K128" s="40">
        <f>K34</f>
        <v>11705.811</v>
      </c>
      <c r="L128" s="59"/>
      <c r="M128" s="49"/>
      <c r="P128" s="67"/>
    </row>
    <row r="129" spans="3:16" ht="12.75" x14ac:dyDescent="0.2">
      <c r="C129" s="5"/>
      <c r="D129" s="99" t="s">
        <v>256</v>
      </c>
      <c r="E129" s="100"/>
      <c r="F129" s="100"/>
      <c r="G129" s="100"/>
      <c r="H129" s="100"/>
      <c r="I129" s="100"/>
      <c r="J129" s="100"/>
      <c r="K129" s="101"/>
      <c r="L129" s="59"/>
      <c r="M129" s="49"/>
      <c r="P129" s="71"/>
    </row>
    <row r="130" spans="3:16" ht="22.5" x14ac:dyDescent="0.2">
      <c r="C130" s="5"/>
      <c r="D130" s="39" t="s">
        <v>257</v>
      </c>
      <c r="E130" s="11" t="s">
        <v>258</v>
      </c>
      <c r="F130" s="12" t="s">
        <v>259</v>
      </c>
      <c r="G130" s="13">
        <f t="shared" si="0"/>
        <v>0</v>
      </c>
      <c r="H130" s="41">
        <f>SUM( H131:H132)</f>
        <v>0</v>
      </c>
      <c r="I130" s="41">
        <f>SUM( I131:I132)</f>
        <v>0</v>
      </c>
      <c r="J130" s="41">
        <f>SUM( J131:J132)</f>
        <v>0</v>
      </c>
      <c r="K130" s="41">
        <f>SUM( K131:K132)</f>
        <v>0</v>
      </c>
      <c r="L130" s="59"/>
      <c r="M130" s="49"/>
      <c r="P130" s="67">
        <v>800</v>
      </c>
    </row>
    <row r="131" spans="3:16" ht="12.75" x14ac:dyDescent="0.2">
      <c r="C131" s="5"/>
      <c r="D131" s="39" t="s">
        <v>260</v>
      </c>
      <c r="E131" s="14" t="s">
        <v>173</v>
      </c>
      <c r="F131" s="12" t="s">
        <v>261</v>
      </c>
      <c r="G131" s="13">
        <f t="shared" si="0"/>
        <v>0</v>
      </c>
      <c r="H131" s="40"/>
      <c r="I131" s="40"/>
      <c r="J131" s="40"/>
      <c r="K131" s="40"/>
      <c r="L131" s="59"/>
      <c r="M131" s="49"/>
      <c r="P131" s="67">
        <v>810</v>
      </c>
    </row>
    <row r="132" spans="3:16" ht="12.75" x14ac:dyDescent="0.2">
      <c r="C132" s="5"/>
      <c r="D132" s="39" t="s">
        <v>262</v>
      </c>
      <c r="E132" s="14" t="s">
        <v>176</v>
      </c>
      <c r="F132" s="12" t="s">
        <v>263</v>
      </c>
      <c r="G132" s="13">
        <f t="shared" si="0"/>
        <v>0</v>
      </c>
      <c r="H132" s="41">
        <f>H133+H135</f>
        <v>0</v>
      </c>
      <c r="I132" s="41">
        <f>I133+I135</f>
        <v>0</v>
      </c>
      <c r="J132" s="41">
        <f>J133+J135</f>
        <v>0</v>
      </c>
      <c r="K132" s="41">
        <f>K133+K135</f>
        <v>0</v>
      </c>
      <c r="L132" s="59"/>
      <c r="M132" s="49"/>
      <c r="P132" s="67">
        <v>820</v>
      </c>
    </row>
    <row r="133" spans="3:16" ht="12.75" x14ac:dyDescent="0.2">
      <c r="C133" s="5"/>
      <c r="D133" s="39" t="s">
        <v>264</v>
      </c>
      <c r="E133" s="34" t="s">
        <v>265</v>
      </c>
      <c r="F133" s="12" t="s">
        <v>266</v>
      </c>
      <c r="G133" s="13">
        <f t="shared" si="0"/>
        <v>0</v>
      </c>
      <c r="H133" s="40"/>
      <c r="I133" s="40"/>
      <c r="J133" s="40"/>
      <c r="K133" s="40"/>
      <c r="L133" s="59"/>
      <c r="M133" s="49"/>
      <c r="P133" s="67">
        <v>830</v>
      </c>
    </row>
    <row r="134" spans="3:16" ht="12.75" x14ac:dyDescent="0.2">
      <c r="C134" s="5"/>
      <c r="D134" s="39" t="s">
        <v>267</v>
      </c>
      <c r="E134" s="35" t="s">
        <v>268</v>
      </c>
      <c r="F134" s="12" t="s">
        <v>269</v>
      </c>
      <c r="G134" s="13">
        <f t="shared" si="0"/>
        <v>0</v>
      </c>
      <c r="H134" s="40"/>
      <c r="I134" s="40"/>
      <c r="J134" s="40"/>
      <c r="K134" s="40"/>
      <c r="L134" s="59"/>
      <c r="M134" s="49"/>
      <c r="P134" s="71"/>
    </row>
    <row r="135" spans="3:16" ht="12.75" x14ac:dyDescent="0.2">
      <c r="C135" s="5"/>
      <c r="D135" s="39" t="s">
        <v>270</v>
      </c>
      <c r="E135" s="34" t="s">
        <v>271</v>
      </c>
      <c r="F135" s="12" t="s">
        <v>272</v>
      </c>
      <c r="G135" s="13">
        <f t="shared" si="0"/>
        <v>0</v>
      </c>
      <c r="H135" s="40"/>
      <c r="I135" s="40"/>
      <c r="J135" s="40"/>
      <c r="K135" s="40"/>
      <c r="L135" s="59"/>
      <c r="M135" s="49"/>
      <c r="P135" s="67">
        <v>840</v>
      </c>
    </row>
    <row r="136" spans="3:16" ht="12.75" x14ac:dyDescent="0.2">
      <c r="C136" s="5"/>
      <c r="D136" s="39" t="s">
        <v>19</v>
      </c>
      <c r="E136" s="11" t="s">
        <v>273</v>
      </c>
      <c r="F136" s="12" t="s">
        <v>274</v>
      </c>
      <c r="G136" s="13">
        <f t="shared" si="0"/>
        <v>0</v>
      </c>
      <c r="H136" s="42">
        <f>SUM( H137+H142)</f>
        <v>0</v>
      </c>
      <c r="I136" s="42">
        <f>SUM( I137+I142)</f>
        <v>0</v>
      </c>
      <c r="J136" s="42">
        <f>SUM( J137+J142)</f>
        <v>0</v>
      </c>
      <c r="K136" s="42">
        <f>SUM( K137+K142)</f>
        <v>0</v>
      </c>
      <c r="L136" s="62"/>
      <c r="M136" s="49"/>
      <c r="P136" s="67">
        <v>850</v>
      </c>
    </row>
    <row r="137" spans="3:16" ht="12.75" x14ac:dyDescent="0.2">
      <c r="C137" s="5"/>
      <c r="D137" s="39" t="s">
        <v>275</v>
      </c>
      <c r="E137" s="14" t="s">
        <v>173</v>
      </c>
      <c r="F137" s="12" t="s">
        <v>276</v>
      </c>
      <c r="G137" s="13">
        <f t="shared" ref="G137:G150" si="1">SUM(H137:K137)</f>
        <v>0</v>
      </c>
      <c r="H137" s="42">
        <f>SUM( H138:H139)</f>
        <v>0</v>
      </c>
      <c r="I137" s="42">
        <f>SUM( I138:I139)</f>
        <v>0</v>
      </c>
      <c r="J137" s="42">
        <f>SUM( J138:J139)</f>
        <v>0</v>
      </c>
      <c r="K137" s="42">
        <f>SUM( K138:K139)</f>
        <v>0</v>
      </c>
      <c r="L137" s="62"/>
      <c r="M137" s="49"/>
      <c r="P137" s="67">
        <v>860</v>
      </c>
    </row>
    <row r="138" spans="3:16" ht="12.75" x14ac:dyDescent="0.2">
      <c r="C138" s="5"/>
      <c r="D138" s="39" t="s">
        <v>277</v>
      </c>
      <c r="E138" s="34" t="s">
        <v>194</v>
      </c>
      <c r="F138" s="12" t="s">
        <v>278</v>
      </c>
      <c r="G138" s="13">
        <f t="shared" si="1"/>
        <v>0</v>
      </c>
      <c r="H138" s="44"/>
      <c r="I138" s="44"/>
      <c r="J138" s="44"/>
      <c r="K138" s="44"/>
      <c r="L138" s="62"/>
      <c r="M138" s="49"/>
      <c r="P138" s="67"/>
    </row>
    <row r="139" spans="3:16" ht="12.75" x14ac:dyDescent="0.2">
      <c r="C139" s="5"/>
      <c r="D139" s="39" t="s">
        <v>279</v>
      </c>
      <c r="E139" s="34" t="s">
        <v>197</v>
      </c>
      <c r="F139" s="12" t="s">
        <v>280</v>
      </c>
      <c r="G139" s="13">
        <f t="shared" si="1"/>
        <v>0</v>
      </c>
      <c r="H139" s="42">
        <f>H140+H141</f>
        <v>0</v>
      </c>
      <c r="I139" s="42">
        <f>I140+I141</f>
        <v>0</v>
      </c>
      <c r="J139" s="42">
        <f>J140+J141</f>
        <v>0</v>
      </c>
      <c r="K139" s="42">
        <f>K140+K141</f>
        <v>0</v>
      </c>
      <c r="L139" s="62"/>
      <c r="M139" s="49"/>
      <c r="P139" s="67"/>
    </row>
    <row r="140" spans="3:16" ht="12.75" x14ac:dyDescent="0.2">
      <c r="C140" s="5"/>
      <c r="D140" s="39" t="s">
        <v>281</v>
      </c>
      <c r="E140" s="35" t="s">
        <v>203</v>
      </c>
      <c r="F140" s="12" t="s">
        <v>282</v>
      </c>
      <c r="G140" s="13">
        <f t="shared" si="1"/>
        <v>0</v>
      </c>
      <c r="H140" s="44"/>
      <c r="I140" s="44"/>
      <c r="J140" s="44"/>
      <c r="K140" s="44"/>
      <c r="L140" s="62"/>
      <c r="M140" s="49"/>
      <c r="P140" s="67"/>
    </row>
    <row r="141" spans="3:16" ht="12.75" x14ac:dyDescent="0.2">
      <c r="C141" s="5"/>
      <c r="D141" s="39" t="s">
        <v>283</v>
      </c>
      <c r="E141" s="35" t="s">
        <v>284</v>
      </c>
      <c r="F141" s="12" t="s">
        <v>285</v>
      </c>
      <c r="G141" s="13">
        <f t="shared" si="1"/>
        <v>0</v>
      </c>
      <c r="H141" s="44"/>
      <c r="I141" s="44"/>
      <c r="J141" s="44"/>
      <c r="K141" s="44"/>
      <c r="L141" s="62"/>
      <c r="M141" s="49"/>
      <c r="P141" s="67"/>
    </row>
    <row r="142" spans="3:16" ht="12.75" x14ac:dyDescent="0.2">
      <c r="C142" s="5"/>
      <c r="D142" s="39" t="s">
        <v>286</v>
      </c>
      <c r="E142" s="14" t="s">
        <v>235</v>
      </c>
      <c r="F142" s="12" t="s">
        <v>287</v>
      </c>
      <c r="G142" s="13">
        <f t="shared" si="1"/>
        <v>0</v>
      </c>
      <c r="H142" s="42">
        <f>H143+H145</f>
        <v>0</v>
      </c>
      <c r="I142" s="42">
        <f>I143+I145</f>
        <v>0</v>
      </c>
      <c r="J142" s="42">
        <f>J143+J145</f>
        <v>0</v>
      </c>
      <c r="K142" s="42">
        <f>K143+K145</f>
        <v>0</v>
      </c>
      <c r="L142" s="62"/>
      <c r="M142" s="49"/>
      <c r="P142" s="67">
        <v>870</v>
      </c>
    </row>
    <row r="143" spans="3:16" ht="12.75" x14ac:dyDescent="0.2">
      <c r="C143" s="5"/>
      <c r="D143" s="39" t="s">
        <v>288</v>
      </c>
      <c r="E143" s="34" t="s">
        <v>265</v>
      </c>
      <c r="F143" s="12" t="s">
        <v>289</v>
      </c>
      <c r="G143" s="13">
        <f t="shared" si="1"/>
        <v>0</v>
      </c>
      <c r="H143" s="40"/>
      <c r="I143" s="40"/>
      <c r="J143" s="40"/>
      <c r="K143" s="40"/>
      <c r="L143" s="62"/>
      <c r="M143" s="49"/>
      <c r="P143" s="67">
        <v>880</v>
      </c>
    </row>
    <row r="144" spans="3:16" ht="12.75" x14ac:dyDescent="0.2">
      <c r="C144" s="5"/>
      <c r="D144" s="39" t="s">
        <v>290</v>
      </c>
      <c r="E144" s="35" t="s">
        <v>268</v>
      </c>
      <c r="F144" s="12" t="s">
        <v>291</v>
      </c>
      <c r="G144" s="13">
        <f t="shared" si="1"/>
        <v>0</v>
      </c>
      <c r="H144" s="40"/>
      <c r="I144" s="40"/>
      <c r="J144" s="40"/>
      <c r="K144" s="40"/>
      <c r="L144" s="62"/>
      <c r="M144" s="49"/>
      <c r="P144" s="67"/>
    </row>
    <row r="145" spans="3:19" ht="12.75" x14ac:dyDescent="0.2">
      <c r="C145" s="5"/>
      <c r="D145" s="39" t="s">
        <v>292</v>
      </c>
      <c r="E145" s="34" t="s">
        <v>271</v>
      </c>
      <c r="F145" s="12" t="s">
        <v>293</v>
      </c>
      <c r="G145" s="13">
        <f t="shared" si="1"/>
        <v>0</v>
      </c>
      <c r="H145" s="45"/>
      <c r="I145" s="45"/>
      <c r="J145" s="45"/>
      <c r="K145" s="45"/>
      <c r="L145" s="62"/>
      <c r="M145" s="49"/>
      <c r="P145" s="67">
        <v>890</v>
      </c>
    </row>
    <row r="146" spans="3:19" ht="22.5" x14ac:dyDescent="0.2">
      <c r="C146" s="5"/>
      <c r="D146" s="39" t="s">
        <v>294</v>
      </c>
      <c r="E146" s="11" t="s">
        <v>295</v>
      </c>
      <c r="F146" s="12" t="s">
        <v>296</v>
      </c>
      <c r="G146" s="13">
        <f t="shared" si="1"/>
        <v>44495.734917611997</v>
      </c>
      <c r="H146" s="46">
        <f>SUM( H147:H148)</f>
        <v>14.548079099999999</v>
      </c>
      <c r="I146" s="46">
        <f>SUM( I147:I148)</f>
        <v>41249.758147271998</v>
      </c>
      <c r="J146" s="46">
        <f>SUM( J147:J148)</f>
        <v>1988.9739116999999</v>
      </c>
      <c r="K146" s="46">
        <f>SUM( K147:K148)</f>
        <v>1242.4547795399999</v>
      </c>
      <c r="L146" s="62"/>
      <c r="M146" s="49"/>
      <c r="P146" s="67">
        <v>900</v>
      </c>
    </row>
    <row r="147" spans="3:19" ht="12.75" x14ac:dyDescent="0.2">
      <c r="C147" s="5"/>
      <c r="D147" s="39" t="s">
        <v>297</v>
      </c>
      <c r="E147" s="14" t="s">
        <v>173</v>
      </c>
      <c r="F147" s="12" t="s">
        <v>298</v>
      </c>
      <c r="G147" s="13">
        <f t="shared" si="1"/>
        <v>0</v>
      </c>
      <c r="H147" s="45"/>
      <c r="I147" s="45"/>
      <c r="J147" s="45"/>
      <c r="K147" s="45"/>
      <c r="L147" s="62"/>
      <c r="M147" s="49"/>
      <c r="P147" s="67"/>
    </row>
    <row r="148" spans="3:19" ht="12.75" x14ac:dyDescent="0.2">
      <c r="C148" s="5"/>
      <c r="D148" s="39" t="s">
        <v>299</v>
      </c>
      <c r="E148" s="14" t="s">
        <v>176</v>
      </c>
      <c r="F148" s="12" t="s">
        <v>300</v>
      </c>
      <c r="G148" s="13">
        <f t="shared" si="1"/>
        <v>44495.734917611997</v>
      </c>
      <c r="H148" s="46">
        <f>H149+H150</f>
        <v>14.548079099999999</v>
      </c>
      <c r="I148" s="46">
        <f>I149+I150</f>
        <v>41249.758147271998</v>
      </c>
      <c r="J148" s="46">
        <f>J149+J150</f>
        <v>1988.9739116999999</v>
      </c>
      <c r="K148" s="46">
        <f>K149+K150</f>
        <v>1242.4547795399999</v>
      </c>
      <c r="L148" s="62"/>
      <c r="M148" s="49"/>
      <c r="P148" s="67"/>
    </row>
    <row r="149" spans="3:19" ht="12.75" x14ac:dyDescent="0.2">
      <c r="C149" s="5"/>
      <c r="D149" s="39" t="s">
        <v>301</v>
      </c>
      <c r="E149" s="34" t="s">
        <v>302</v>
      </c>
      <c r="F149" s="12" t="s">
        <v>303</v>
      </c>
      <c r="G149" s="13">
        <f t="shared" si="1"/>
        <v>36217.632514031997</v>
      </c>
      <c r="H149" s="45"/>
      <c r="I149" s="45">
        <f>I127*56363.61/1000*1.2*12</f>
        <v>36217.632514031997</v>
      </c>
      <c r="J149" s="45"/>
      <c r="K149" s="45"/>
      <c r="L149" s="62"/>
      <c r="M149" s="49"/>
      <c r="P149" s="67" t="s">
        <v>333</v>
      </c>
    </row>
    <row r="150" spans="3:19" ht="12.75" x14ac:dyDescent="0.2">
      <c r="C150" s="5"/>
      <c r="D150" s="39" t="s">
        <v>304</v>
      </c>
      <c r="E150" s="34" t="s">
        <v>271</v>
      </c>
      <c r="F150" s="12" t="s">
        <v>305</v>
      </c>
      <c r="G150" s="13">
        <f t="shared" si="1"/>
        <v>8278.1024035800001</v>
      </c>
      <c r="H150" s="45">
        <f>H128*88.45/1000*1.2</f>
        <v>14.548079099999999</v>
      </c>
      <c r="I150" s="45">
        <f>I128*88.45/1000*1.2</f>
        <v>5032.1256332399998</v>
      </c>
      <c r="J150" s="45">
        <f>J128*88.45/1000*1.2</f>
        <v>1988.9739116999999</v>
      </c>
      <c r="K150" s="45">
        <f>K128*88.45/1000*1.2</f>
        <v>1242.4547795399999</v>
      </c>
      <c r="L150" s="62"/>
      <c r="M150" s="49"/>
      <c r="P150" s="67" t="s">
        <v>334</v>
      </c>
    </row>
    <row r="151" spans="3:19" x14ac:dyDescent="0.25">
      <c r="D151" s="4"/>
      <c r="E151" s="47"/>
      <c r="F151" s="47"/>
      <c r="G151" s="47"/>
      <c r="H151" s="47"/>
      <c r="I151" s="47"/>
      <c r="J151" s="47"/>
      <c r="K151" s="48"/>
      <c r="L151" s="48"/>
      <c r="M151" s="48"/>
      <c r="N151" s="48"/>
      <c r="O151" s="48"/>
      <c r="P151" s="48"/>
      <c r="Q151" s="48"/>
      <c r="R151" s="63"/>
      <c r="S151" s="63"/>
    </row>
    <row r="152" spans="3:19" ht="12.75" x14ac:dyDescent="0.2">
      <c r="E152" s="49" t="s">
        <v>306</v>
      </c>
      <c r="F152" s="108" t="str">
        <f>IF([11]Титульный!G45="","",[11]Титульный!G45)</f>
        <v>экономист</v>
      </c>
      <c r="G152" s="108"/>
      <c r="H152" s="50"/>
      <c r="I152" s="108" t="str">
        <f>IF([11]Титульный!G44="","",[11]Титульный!G44)</f>
        <v>Кривнева Е. В.</v>
      </c>
      <c r="J152" s="108"/>
      <c r="K152" s="108"/>
      <c r="L152" s="50"/>
      <c r="M152" s="72"/>
      <c r="N152" s="72"/>
      <c r="O152" s="52"/>
      <c r="P152" s="48"/>
      <c r="Q152" s="48"/>
      <c r="R152" s="63"/>
      <c r="S152" s="63"/>
    </row>
    <row r="153" spans="3:19" ht="12.75" x14ac:dyDescent="0.2">
      <c r="E153" s="51" t="s">
        <v>307</v>
      </c>
      <c r="F153" s="109" t="s">
        <v>308</v>
      </c>
      <c r="G153" s="109"/>
      <c r="H153" s="52"/>
      <c r="I153" s="109" t="s">
        <v>309</v>
      </c>
      <c r="J153" s="109"/>
      <c r="K153" s="109"/>
      <c r="L153" s="52"/>
      <c r="M153" s="109" t="s">
        <v>335</v>
      </c>
      <c r="N153" s="109"/>
      <c r="O153" s="49"/>
      <c r="P153" s="48"/>
      <c r="Q153" s="48"/>
      <c r="R153" s="63"/>
      <c r="S153" s="63"/>
    </row>
    <row r="154" spans="3:19" ht="12.75" x14ac:dyDescent="0.2">
      <c r="E154" s="51" t="s">
        <v>310</v>
      </c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8"/>
      <c r="Q154" s="48"/>
      <c r="R154" s="63"/>
      <c r="S154" s="63"/>
    </row>
    <row r="155" spans="3:19" ht="12.75" x14ac:dyDescent="0.2">
      <c r="E155" s="51" t="s">
        <v>311</v>
      </c>
      <c r="F155" s="108" t="str">
        <f>IF([11]Титульный!G46="","",[11]Титульный!G46)</f>
        <v>(861) 258-50-71</v>
      </c>
      <c r="G155" s="108"/>
      <c r="H155" s="108"/>
      <c r="I155" s="49"/>
      <c r="J155" s="51" t="s">
        <v>312</v>
      </c>
      <c r="K155" s="96"/>
      <c r="L155" s="49"/>
      <c r="M155" s="49"/>
      <c r="N155" s="49"/>
      <c r="O155" s="49"/>
      <c r="P155" s="48"/>
      <c r="Q155" s="48"/>
      <c r="R155" s="63"/>
      <c r="S155" s="63"/>
    </row>
    <row r="156" spans="3:19" ht="12.75" x14ac:dyDescent="0.2">
      <c r="E156" s="49" t="s">
        <v>313</v>
      </c>
      <c r="F156" s="110" t="s">
        <v>314</v>
      </c>
      <c r="G156" s="110"/>
      <c r="H156" s="110"/>
      <c r="I156" s="49"/>
      <c r="J156" s="53" t="s">
        <v>315</v>
      </c>
      <c r="K156" s="53"/>
      <c r="L156" s="49"/>
      <c r="M156" s="49"/>
      <c r="N156" s="49"/>
      <c r="O156" s="49"/>
      <c r="P156" s="48"/>
      <c r="Q156" s="48"/>
      <c r="R156" s="63"/>
      <c r="S156" s="63"/>
    </row>
    <row r="157" spans="3:19" x14ac:dyDescent="0.25"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63"/>
      <c r="S157" s="63"/>
    </row>
    <row r="158" spans="3:19" x14ac:dyDescent="0.25"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63"/>
      <c r="S158" s="63"/>
    </row>
    <row r="159" spans="3:19" x14ac:dyDescent="0.25"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63"/>
      <c r="S159" s="63"/>
    </row>
    <row r="160" spans="3:19" x14ac:dyDescent="0.25"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63"/>
      <c r="S160" s="63"/>
    </row>
    <row r="161" spans="5:19" x14ac:dyDescent="0.25"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63"/>
      <c r="S161" s="63"/>
    </row>
    <row r="162" spans="5:19" x14ac:dyDescent="0.25"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63"/>
      <c r="S162" s="63"/>
    </row>
    <row r="163" spans="5:19" x14ac:dyDescent="0.25"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63"/>
      <c r="S163" s="63"/>
    </row>
    <row r="164" spans="5:19" x14ac:dyDescent="0.25"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63"/>
      <c r="S164" s="63"/>
    </row>
    <row r="165" spans="5:19" x14ac:dyDescent="0.25"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63"/>
      <c r="S165" s="63"/>
    </row>
    <row r="166" spans="5:19" x14ac:dyDescent="0.25"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63"/>
      <c r="S166" s="63"/>
    </row>
    <row r="167" spans="5:19" x14ac:dyDescent="0.25"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63"/>
      <c r="S167" s="63"/>
    </row>
    <row r="168" spans="5:19" x14ac:dyDescent="0.25"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63"/>
      <c r="S168" s="63"/>
    </row>
    <row r="169" spans="5:19" x14ac:dyDescent="0.25"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63"/>
      <c r="S169" s="63"/>
    </row>
    <row r="170" spans="5:19" x14ac:dyDescent="0.25"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63"/>
      <c r="S170" s="63"/>
    </row>
    <row r="171" spans="5:19" x14ac:dyDescent="0.25"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63"/>
      <c r="S171" s="63"/>
    </row>
    <row r="172" spans="5:19" x14ac:dyDescent="0.25"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63"/>
      <c r="S172" s="63"/>
    </row>
    <row r="173" spans="5:19" x14ac:dyDescent="0.25"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63"/>
      <c r="S173" s="63"/>
    </row>
    <row r="174" spans="5:19" x14ac:dyDescent="0.25"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63"/>
      <c r="S174" s="63"/>
    </row>
    <row r="175" spans="5:19" x14ac:dyDescent="0.25"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63"/>
      <c r="S175" s="63"/>
    </row>
    <row r="176" spans="5:19" x14ac:dyDescent="0.25"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63"/>
      <c r="S176" s="63"/>
    </row>
    <row r="177" spans="5:19" x14ac:dyDescent="0.25"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63"/>
      <c r="S177" s="63"/>
    </row>
    <row r="178" spans="5:19" x14ac:dyDescent="0.25"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63"/>
      <c r="S178" s="63"/>
    </row>
    <row r="179" spans="5:19" x14ac:dyDescent="0.25"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63"/>
      <c r="S179" s="63"/>
    </row>
    <row r="180" spans="5:19" x14ac:dyDescent="0.25"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63"/>
      <c r="S180" s="63"/>
    </row>
    <row r="181" spans="5:19" x14ac:dyDescent="0.25"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63"/>
      <c r="S181" s="63"/>
    </row>
    <row r="182" spans="5:19" x14ac:dyDescent="0.25"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5:19" x14ac:dyDescent="0.25"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5:19" x14ac:dyDescent="0.25"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5:19" x14ac:dyDescent="0.25"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</sheetData>
  <mergeCells count="18">
    <mergeCell ref="F153:G153"/>
    <mergeCell ref="I153:K153"/>
    <mergeCell ref="M153:N153"/>
    <mergeCell ref="F155:H155"/>
    <mergeCell ref="F156:H156"/>
    <mergeCell ref="D14:K14"/>
    <mergeCell ref="D53:K53"/>
    <mergeCell ref="D92:K92"/>
    <mergeCell ref="D96:K96"/>
    <mergeCell ref="D129:K129"/>
    <mergeCell ref="F152:G152"/>
    <mergeCell ref="I152:K152"/>
    <mergeCell ref="D8:E8"/>
    <mergeCell ref="D11:D12"/>
    <mergeCell ref="E11:E12"/>
    <mergeCell ref="F11:F12"/>
    <mergeCell ref="G11:G12"/>
    <mergeCell ref="H11:K11"/>
  </mergeCells>
  <dataValidations count="2">
    <dataValidation allowBlank="1" showInputMessage="1" promptTitle="Ввод" prompt="Для выбора организации необходимо два раза нажать левую клавишу мыши!" sqref="E42 E25:E26 E81 E64:E65"/>
    <dataValidation type="decimal" allowBlank="1" showErrorMessage="1" errorTitle="Ошибка" error="Допускается ввод только действительных чисел!" sqref="G62:K65 G93:K95 G67:K81 G15:K18 G83:K91 G97:K128 G23:K26 G44:K52 G28:K42 G130:K150 G59:K60 G20:K21 G54:K57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87"/>
  <sheetViews>
    <sheetView topLeftCell="C7" workbookViewId="0">
      <selection activeCell="I130" sqref="I130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 x14ac:dyDescent="0.25">
      <c r="S1" s="54"/>
      <c r="T1" s="54"/>
      <c r="U1" s="54"/>
      <c r="V1" s="54"/>
      <c r="Y1" s="54"/>
      <c r="AA1" s="54"/>
      <c r="AN1" s="54"/>
      <c r="AO1" s="54"/>
      <c r="AP1" s="54"/>
      <c r="BC1" s="54"/>
      <c r="BF1" s="54"/>
      <c r="BI1" s="54"/>
      <c r="BM1" s="54"/>
      <c r="BO1" s="54"/>
      <c r="BX1" s="54"/>
      <c r="BY1" s="54"/>
      <c r="CC1" s="54"/>
    </row>
    <row r="2" spans="1:81" hidden="1" x14ac:dyDescent="0.25"/>
    <row r="3" spans="1:81" hidden="1" x14ac:dyDescent="0.25"/>
    <row r="4" spans="1:81" hidden="1" x14ac:dyDescent="0.25">
      <c r="A4" s="55"/>
      <c r="F4" s="56"/>
      <c r="G4" s="56"/>
      <c r="H4" s="56"/>
      <c r="I4" s="56"/>
      <c r="J4" s="56"/>
      <c r="K4" s="56"/>
      <c r="M4" s="56"/>
      <c r="N4" s="56"/>
      <c r="O4" s="56"/>
      <c r="P4" s="56"/>
      <c r="Q4" s="56"/>
    </row>
    <row r="5" spans="1:81" hidden="1" x14ac:dyDescent="0.25">
      <c r="A5" s="57"/>
      <c r="F5" s="1" t="s">
        <v>316</v>
      </c>
      <c r="G5" s="1" t="s">
        <v>317</v>
      </c>
      <c r="H5" s="1" t="s">
        <v>318</v>
      </c>
      <c r="I5" s="1" t="s">
        <v>319</v>
      </c>
      <c r="J5" s="1" t="s">
        <v>320</v>
      </c>
      <c r="K5" s="1" t="s">
        <v>321</v>
      </c>
      <c r="L5" s="1" t="s">
        <v>322</v>
      </c>
      <c r="M5" s="1" t="s">
        <v>323</v>
      </c>
      <c r="N5" s="1" t="s">
        <v>323</v>
      </c>
      <c r="O5" s="1" t="s">
        <v>324</v>
      </c>
      <c r="P5" s="1" t="s">
        <v>325</v>
      </c>
      <c r="Q5" s="1" t="s">
        <v>326</v>
      </c>
    </row>
    <row r="6" spans="1:81" hidden="1" x14ac:dyDescent="0.25">
      <c r="A6" s="57"/>
    </row>
    <row r="7" spans="1:81" ht="12" customHeight="1" x14ac:dyDescent="0.25">
      <c r="A7" s="57"/>
      <c r="D7" s="5"/>
      <c r="E7" s="5"/>
      <c r="F7" s="5"/>
      <c r="G7" s="5"/>
      <c r="H7" s="5"/>
      <c r="I7" s="5"/>
      <c r="J7" s="5"/>
      <c r="K7" s="58"/>
      <c r="Q7" s="66"/>
    </row>
    <row r="8" spans="1:81" ht="22.5" customHeight="1" x14ac:dyDescent="0.25">
      <c r="A8" s="57"/>
      <c r="D8" s="104" t="s">
        <v>0</v>
      </c>
      <c r="E8" s="10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81" x14ac:dyDescent="0.25">
      <c r="A9" s="57"/>
      <c r="D9" s="73">
        <v>44228</v>
      </c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81" ht="12" customHeight="1" x14ac:dyDescent="0.25">
      <c r="D10" s="4"/>
      <c r="E10" s="4"/>
      <c r="F10" s="5"/>
      <c r="G10" s="5"/>
      <c r="H10" s="5"/>
      <c r="I10" s="5"/>
      <c r="K10" s="6" t="s">
        <v>1</v>
      </c>
    </row>
    <row r="11" spans="1:81" ht="15" customHeight="1" x14ac:dyDescent="0.25">
      <c r="C11" s="5"/>
      <c r="D11" s="105" t="s">
        <v>2</v>
      </c>
      <c r="E11" s="102" t="s">
        <v>3</v>
      </c>
      <c r="F11" s="102" t="s">
        <v>4</v>
      </c>
      <c r="G11" s="102" t="s">
        <v>5</v>
      </c>
      <c r="H11" s="102" t="s">
        <v>6</v>
      </c>
      <c r="I11" s="102"/>
      <c r="J11" s="102"/>
      <c r="K11" s="103"/>
      <c r="L11" s="59"/>
    </row>
    <row r="12" spans="1:81" ht="15" customHeight="1" x14ac:dyDescent="0.25">
      <c r="C12" s="5"/>
      <c r="D12" s="106"/>
      <c r="E12" s="107"/>
      <c r="F12" s="107"/>
      <c r="G12" s="107"/>
      <c r="H12" s="65" t="s">
        <v>7</v>
      </c>
      <c r="I12" s="65" t="s">
        <v>8</v>
      </c>
      <c r="J12" s="65" t="s">
        <v>9</v>
      </c>
      <c r="K12" s="7" t="s">
        <v>10</v>
      </c>
      <c r="L12" s="59"/>
    </row>
    <row r="13" spans="1:81" ht="12" customHeight="1" x14ac:dyDescent="0.25">
      <c r="D13" s="8">
        <v>0</v>
      </c>
      <c r="E13" s="8">
        <v>1</v>
      </c>
      <c r="F13" s="8">
        <v>2</v>
      </c>
      <c r="G13" s="8">
        <v>3</v>
      </c>
      <c r="H13" s="8">
        <v>4</v>
      </c>
      <c r="I13" s="8">
        <v>5</v>
      </c>
      <c r="J13" s="8">
        <v>6</v>
      </c>
      <c r="K13" s="8">
        <v>7</v>
      </c>
    </row>
    <row r="14" spans="1:81" s="60" customFormat="1" ht="15" customHeight="1" x14ac:dyDescent="0.25">
      <c r="C14" s="9"/>
      <c r="D14" s="99" t="s">
        <v>11</v>
      </c>
      <c r="E14" s="100"/>
      <c r="F14" s="100"/>
      <c r="G14" s="100"/>
      <c r="H14" s="100"/>
      <c r="I14" s="100"/>
      <c r="J14" s="100"/>
      <c r="K14" s="101"/>
      <c r="L14" s="61"/>
    </row>
    <row r="15" spans="1:81" s="60" customFormat="1" ht="15" customHeight="1" x14ac:dyDescent="0.2">
      <c r="C15" s="9"/>
      <c r="D15" s="10" t="s">
        <v>12</v>
      </c>
      <c r="E15" s="11" t="s">
        <v>13</v>
      </c>
      <c r="F15" s="12">
        <v>10</v>
      </c>
      <c r="G15" s="13">
        <f>SUM(H15:K15)</f>
        <v>6839.57</v>
      </c>
      <c r="H15" s="13">
        <f>H16+H17+H21+H24</f>
        <v>797.71799999999996</v>
      </c>
      <c r="I15" s="13">
        <f>I16+I17+I21+I24</f>
        <v>5402.576</v>
      </c>
      <c r="J15" s="13">
        <f>J16+J17+J21+J24</f>
        <v>639.27600000000007</v>
      </c>
      <c r="K15" s="13">
        <f>K16+K17+K21+K24</f>
        <v>0</v>
      </c>
      <c r="L15" s="61"/>
      <c r="M15" s="49"/>
      <c r="P15" s="67">
        <v>10</v>
      </c>
    </row>
    <row r="16" spans="1:81" s="60" customFormat="1" ht="15" customHeight="1" x14ac:dyDescent="0.2">
      <c r="C16" s="9"/>
      <c r="D16" s="10" t="s">
        <v>14</v>
      </c>
      <c r="E16" s="14" t="s">
        <v>15</v>
      </c>
      <c r="F16" s="12">
        <v>20</v>
      </c>
      <c r="G16" s="13">
        <f t="shared" ref="G16:G138" si="0">SUM(H16:K16)</f>
        <v>0</v>
      </c>
      <c r="H16" s="15"/>
      <c r="I16" s="15"/>
      <c r="J16" s="15"/>
      <c r="K16" s="15"/>
      <c r="L16" s="61"/>
      <c r="M16" s="49"/>
      <c r="P16" s="67">
        <v>20</v>
      </c>
    </row>
    <row r="17" spans="3:16" s="60" customFormat="1" ht="12.75" x14ac:dyDescent="0.2">
      <c r="C17" s="9"/>
      <c r="D17" s="10" t="s">
        <v>16</v>
      </c>
      <c r="E17" s="14" t="s">
        <v>17</v>
      </c>
      <c r="F17" s="12">
        <v>30</v>
      </c>
      <c r="G17" s="13">
        <f t="shared" si="0"/>
        <v>0</v>
      </c>
      <c r="H17" s="13">
        <f>SUM(H18:H20)</f>
        <v>0</v>
      </c>
      <c r="I17" s="13">
        <f>SUM(I18:I20)</f>
        <v>0</v>
      </c>
      <c r="J17" s="13">
        <f>SUM(J18:J20)</f>
        <v>0</v>
      </c>
      <c r="K17" s="13">
        <f>SUM(K18:K20)</f>
        <v>0</v>
      </c>
      <c r="L17" s="61"/>
      <c r="M17" s="49"/>
      <c r="P17" s="67">
        <v>30</v>
      </c>
    </row>
    <row r="18" spans="3:16" s="60" customFormat="1" ht="12.75" x14ac:dyDescent="0.2">
      <c r="C18" s="9"/>
      <c r="D18" s="16" t="s">
        <v>18</v>
      </c>
      <c r="E18" s="17"/>
      <c r="F18" s="18" t="s">
        <v>19</v>
      </c>
      <c r="G18" s="19"/>
      <c r="H18" s="19"/>
      <c r="I18" s="19"/>
      <c r="J18" s="19"/>
      <c r="K18" s="19"/>
      <c r="L18" s="61"/>
      <c r="M18" s="49"/>
      <c r="P18" s="67"/>
    </row>
    <row r="19" spans="3:16" s="60" customFormat="1" ht="15" x14ac:dyDescent="0.25">
      <c r="C19" s="24" t="s">
        <v>29</v>
      </c>
      <c r="D19" s="25" t="s">
        <v>336</v>
      </c>
      <c r="E19" s="26" t="s">
        <v>337</v>
      </c>
      <c r="F19" s="27">
        <v>31</v>
      </c>
      <c r="G19" s="28">
        <f>SUM(H19:K19)</f>
        <v>0</v>
      </c>
      <c r="H19" s="29"/>
      <c r="I19" s="29"/>
      <c r="J19" s="29"/>
      <c r="K19" s="30"/>
      <c r="L19" s="61"/>
      <c r="M19" s="69" t="s">
        <v>338</v>
      </c>
      <c r="N19" s="70" t="s">
        <v>339</v>
      </c>
      <c r="O19" s="70" t="s">
        <v>340</v>
      </c>
    </row>
    <row r="20" spans="3:16" s="60" customFormat="1" ht="12.75" x14ac:dyDescent="0.2">
      <c r="C20" s="9"/>
      <c r="D20" s="20"/>
      <c r="E20" s="21" t="s">
        <v>20</v>
      </c>
      <c r="F20" s="22"/>
      <c r="G20" s="22"/>
      <c r="H20" s="22"/>
      <c r="I20" s="22"/>
      <c r="J20" s="22"/>
      <c r="K20" s="23"/>
      <c r="L20" s="61"/>
      <c r="M20" s="49"/>
      <c r="P20" s="68"/>
    </row>
    <row r="21" spans="3:16" s="60" customFormat="1" ht="12.75" x14ac:dyDescent="0.2">
      <c r="C21" s="9"/>
      <c r="D21" s="10" t="s">
        <v>21</v>
      </c>
      <c r="E21" s="14" t="s">
        <v>22</v>
      </c>
      <c r="F21" s="12" t="s">
        <v>23</v>
      </c>
      <c r="G21" s="13">
        <f t="shared" si="0"/>
        <v>0</v>
      </c>
      <c r="H21" s="13">
        <f>SUM(H22:H23)</f>
        <v>0</v>
      </c>
      <c r="I21" s="13">
        <f>SUM(I22:I23)</f>
        <v>0</v>
      </c>
      <c r="J21" s="13">
        <f>SUM(J22:J23)</f>
        <v>0</v>
      </c>
      <c r="K21" s="13">
        <f>SUM(K22:K23)</f>
        <v>0</v>
      </c>
      <c r="L21" s="61"/>
      <c r="M21" s="49"/>
      <c r="P21" s="68"/>
    </row>
    <row r="22" spans="3:16" s="60" customFormat="1" ht="12.75" x14ac:dyDescent="0.2">
      <c r="C22" s="9"/>
      <c r="D22" s="16" t="s">
        <v>24</v>
      </c>
      <c r="E22" s="17"/>
      <c r="F22" s="18" t="s">
        <v>23</v>
      </c>
      <c r="G22" s="19"/>
      <c r="H22" s="19"/>
      <c r="I22" s="19"/>
      <c r="J22" s="19"/>
      <c r="K22" s="19"/>
      <c r="L22" s="61"/>
      <c r="M22" s="49"/>
      <c r="P22" s="67"/>
    </row>
    <row r="23" spans="3:16" s="60" customFormat="1" ht="12.75" x14ac:dyDescent="0.2">
      <c r="C23" s="9"/>
      <c r="D23" s="20"/>
      <c r="E23" s="21" t="s">
        <v>20</v>
      </c>
      <c r="F23" s="22"/>
      <c r="G23" s="22"/>
      <c r="H23" s="22"/>
      <c r="I23" s="22"/>
      <c r="J23" s="22"/>
      <c r="K23" s="23"/>
      <c r="L23" s="61"/>
      <c r="M23" s="49"/>
      <c r="P23" s="68"/>
    </row>
    <row r="24" spans="3:16" s="60" customFormat="1" ht="12.75" x14ac:dyDescent="0.2">
      <c r="C24" s="9"/>
      <c r="D24" s="10" t="s">
        <v>25</v>
      </c>
      <c r="E24" s="14" t="s">
        <v>26</v>
      </c>
      <c r="F24" s="12" t="s">
        <v>27</v>
      </c>
      <c r="G24" s="13">
        <f t="shared" si="0"/>
        <v>6839.57</v>
      </c>
      <c r="H24" s="13">
        <f>SUM(H25:H28)</f>
        <v>797.71799999999996</v>
      </c>
      <c r="I24" s="13">
        <f>SUM(I25:I28)</f>
        <v>5402.576</v>
      </c>
      <c r="J24" s="13">
        <f>SUM(J25:J28)</f>
        <v>639.27600000000007</v>
      </c>
      <c r="K24" s="13">
        <f>SUM(K25:K28)</f>
        <v>0</v>
      </c>
      <c r="L24" s="61"/>
      <c r="M24" s="49"/>
      <c r="P24" s="67">
        <v>40</v>
      </c>
    </row>
    <row r="25" spans="3:16" s="60" customFormat="1" ht="12.75" x14ac:dyDescent="0.2">
      <c r="C25" s="9"/>
      <c r="D25" s="16" t="s">
        <v>28</v>
      </c>
      <c r="E25" s="17"/>
      <c r="F25" s="18" t="s">
        <v>27</v>
      </c>
      <c r="G25" s="19"/>
      <c r="H25" s="19"/>
      <c r="I25" s="19"/>
      <c r="J25" s="19"/>
      <c r="K25" s="19"/>
      <c r="L25" s="61"/>
      <c r="M25" s="49"/>
      <c r="P25" s="67"/>
    </row>
    <row r="26" spans="3:16" s="60" customFormat="1" ht="15" x14ac:dyDescent="0.25">
      <c r="C26" s="24" t="s">
        <v>29</v>
      </c>
      <c r="D26" s="25" t="s">
        <v>30</v>
      </c>
      <c r="E26" s="26" t="s">
        <v>344</v>
      </c>
      <c r="F26" s="27">
        <v>431</v>
      </c>
      <c r="G26" s="28">
        <f>SUM(H26:K26)</f>
        <v>6575.1379999999999</v>
      </c>
      <c r="H26" s="29">
        <v>797.71799999999996</v>
      </c>
      <c r="I26" s="29">
        <v>5402.576</v>
      </c>
      <c r="J26" s="29">
        <v>374.84399999999999</v>
      </c>
      <c r="K26" s="30"/>
      <c r="L26" s="61"/>
      <c r="M26" s="69" t="s">
        <v>327</v>
      </c>
      <c r="N26" s="70" t="s">
        <v>328</v>
      </c>
      <c r="O26" s="70" t="s">
        <v>329</v>
      </c>
    </row>
    <row r="27" spans="3:16" s="60" customFormat="1" ht="15" x14ac:dyDescent="0.25">
      <c r="C27" s="24" t="s">
        <v>29</v>
      </c>
      <c r="D27" s="25" t="s">
        <v>342</v>
      </c>
      <c r="E27" s="26" t="s">
        <v>68</v>
      </c>
      <c r="F27" s="27">
        <v>432</v>
      </c>
      <c r="G27" s="28">
        <f>SUM(H27:K27)</f>
        <v>264.43200000000002</v>
      </c>
      <c r="H27" s="29"/>
      <c r="I27" s="29"/>
      <c r="J27" s="29">
        <v>264.43200000000002</v>
      </c>
      <c r="K27" s="30"/>
      <c r="L27" s="61"/>
      <c r="M27" s="69" t="s">
        <v>330</v>
      </c>
      <c r="N27" s="70" t="s">
        <v>328</v>
      </c>
      <c r="O27" s="70" t="s">
        <v>332</v>
      </c>
    </row>
    <row r="28" spans="3:16" s="60" customFormat="1" ht="12.75" x14ac:dyDescent="0.2">
      <c r="C28" s="9"/>
      <c r="D28" s="20"/>
      <c r="E28" s="21" t="s">
        <v>20</v>
      </c>
      <c r="F28" s="22"/>
      <c r="G28" s="22"/>
      <c r="H28" s="22"/>
      <c r="I28" s="22"/>
      <c r="J28" s="22"/>
      <c r="K28" s="23"/>
      <c r="L28" s="61"/>
      <c r="M28" s="49"/>
      <c r="P28" s="67"/>
    </row>
    <row r="29" spans="3:16" s="60" customFormat="1" ht="12.75" x14ac:dyDescent="0.2">
      <c r="C29" s="9"/>
      <c r="D29" s="10" t="s">
        <v>31</v>
      </c>
      <c r="E29" s="11" t="s">
        <v>32</v>
      </c>
      <c r="F29" s="12" t="s">
        <v>33</v>
      </c>
      <c r="G29" s="13">
        <f t="shared" si="0"/>
        <v>2608.3000000000002</v>
      </c>
      <c r="H29" s="13">
        <f>H31+H32+H33</f>
        <v>0</v>
      </c>
      <c r="I29" s="13">
        <f>I30+I32+I33</f>
        <v>0</v>
      </c>
      <c r="J29" s="13">
        <f>J30+J31+J33</f>
        <v>1717.0119999999999</v>
      </c>
      <c r="K29" s="13">
        <f>K30+K31+K32</f>
        <v>891.28800000000001</v>
      </c>
      <c r="L29" s="61"/>
      <c r="M29" s="49"/>
      <c r="P29" s="67">
        <v>50</v>
      </c>
    </row>
    <row r="30" spans="3:16" s="60" customFormat="1" ht="12.75" x14ac:dyDescent="0.2">
      <c r="C30" s="9"/>
      <c r="D30" s="10" t="s">
        <v>34</v>
      </c>
      <c r="E30" s="14" t="s">
        <v>7</v>
      </c>
      <c r="F30" s="12" t="s">
        <v>35</v>
      </c>
      <c r="G30" s="13">
        <f t="shared" si="0"/>
        <v>797.61</v>
      </c>
      <c r="H30" s="31"/>
      <c r="I30" s="15"/>
      <c r="J30" s="15">
        <f>H46</f>
        <v>797.61</v>
      </c>
      <c r="K30" s="15"/>
      <c r="L30" s="61"/>
      <c r="M30" s="49"/>
      <c r="P30" s="67">
        <v>60</v>
      </c>
    </row>
    <row r="31" spans="3:16" s="60" customFormat="1" ht="12.75" x14ac:dyDescent="0.2">
      <c r="C31" s="9"/>
      <c r="D31" s="10" t="s">
        <v>36</v>
      </c>
      <c r="E31" s="14" t="s">
        <v>8</v>
      </c>
      <c r="F31" s="12" t="s">
        <v>37</v>
      </c>
      <c r="G31" s="13">
        <f t="shared" si="0"/>
        <v>919.40199999999993</v>
      </c>
      <c r="H31" s="15"/>
      <c r="I31" s="31"/>
      <c r="J31" s="15">
        <f>I26-I35-I49</f>
        <v>919.40199999999993</v>
      </c>
      <c r="K31" s="15"/>
      <c r="L31" s="61"/>
      <c r="M31" s="49"/>
      <c r="P31" s="67">
        <v>70</v>
      </c>
    </row>
    <row r="32" spans="3:16" s="60" customFormat="1" ht="12.75" x14ac:dyDescent="0.2">
      <c r="C32" s="9"/>
      <c r="D32" s="10" t="s">
        <v>38</v>
      </c>
      <c r="E32" s="14" t="s">
        <v>9</v>
      </c>
      <c r="F32" s="12" t="s">
        <v>39</v>
      </c>
      <c r="G32" s="13">
        <f t="shared" si="0"/>
        <v>891.28800000000001</v>
      </c>
      <c r="H32" s="15"/>
      <c r="I32" s="15"/>
      <c r="J32" s="31"/>
      <c r="K32" s="15">
        <f>J24+J29+J17-J49-J35</f>
        <v>891.28800000000001</v>
      </c>
      <c r="L32" s="61"/>
      <c r="M32" s="49"/>
      <c r="P32" s="67">
        <v>80</v>
      </c>
    </row>
    <row r="33" spans="3:16" s="60" customFormat="1" ht="12.75" x14ac:dyDescent="0.2">
      <c r="C33" s="9"/>
      <c r="D33" s="10" t="s">
        <v>40</v>
      </c>
      <c r="E33" s="14" t="s">
        <v>41</v>
      </c>
      <c r="F33" s="12" t="s">
        <v>42</v>
      </c>
      <c r="G33" s="13">
        <f t="shared" si="0"/>
        <v>0</v>
      </c>
      <c r="H33" s="15"/>
      <c r="I33" s="15"/>
      <c r="J33" s="15"/>
      <c r="K33" s="31"/>
      <c r="L33" s="61"/>
      <c r="M33" s="49"/>
      <c r="P33" s="67">
        <v>90</v>
      </c>
    </row>
    <row r="34" spans="3:16" s="60" customFormat="1" ht="12.75" x14ac:dyDescent="0.2">
      <c r="C34" s="9"/>
      <c r="D34" s="10" t="s">
        <v>43</v>
      </c>
      <c r="E34" s="32" t="s">
        <v>44</v>
      </c>
      <c r="F34" s="12" t="s">
        <v>45</v>
      </c>
      <c r="G34" s="13">
        <f t="shared" si="0"/>
        <v>0</v>
      </c>
      <c r="H34" s="15"/>
      <c r="I34" s="15"/>
      <c r="J34" s="15"/>
      <c r="K34" s="15"/>
      <c r="L34" s="61"/>
      <c r="M34" s="49"/>
      <c r="P34" s="67"/>
    </row>
    <row r="35" spans="3:16" s="60" customFormat="1" ht="12.75" x14ac:dyDescent="0.2">
      <c r="C35" s="9"/>
      <c r="D35" s="10" t="s">
        <v>46</v>
      </c>
      <c r="E35" s="11" t="s">
        <v>47</v>
      </c>
      <c r="F35" s="33" t="s">
        <v>48</v>
      </c>
      <c r="G35" s="13">
        <f t="shared" si="0"/>
        <v>6737.6049999999996</v>
      </c>
      <c r="H35" s="13">
        <f>H36+H38+H41+H45</f>
        <v>0</v>
      </c>
      <c r="I35" s="13">
        <f>I36+I38+I41+I45</f>
        <v>4445.3220000000001</v>
      </c>
      <c r="J35" s="13">
        <f>J36+J38+J41+J45</f>
        <v>1423.5509999999999</v>
      </c>
      <c r="K35" s="13">
        <f>K36+K38+K41+K45</f>
        <v>868.73199999999997</v>
      </c>
      <c r="L35" s="61"/>
      <c r="M35" s="49"/>
      <c r="P35" s="67">
        <v>100</v>
      </c>
    </row>
    <row r="36" spans="3:16" s="60" customFormat="1" ht="22.5" x14ac:dyDescent="0.2">
      <c r="C36" s="9"/>
      <c r="D36" s="10" t="s">
        <v>49</v>
      </c>
      <c r="E36" s="14" t="s">
        <v>50</v>
      </c>
      <c r="F36" s="12" t="s">
        <v>51</v>
      </c>
      <c r="G36" s="13">
        <f t="shared" si="0"/>
        <v>0</v>
      </c>
      <c r="H36" s="15"/>
      <c r="I36" s="15"/>
      <c r="J36" s="15"/>
      <c r="K36" s="15"/>
      <c r="L36" s="61"/>
      <c r="M36" s="49"/>
      <c r="P36" s="67"/>
    </row>
    <row r="37" spans="3:16" s="60" customFormat="1" ht="12.75" x14ac:dyDescent="0.2">
      <c r="C37" s="9"/>
      <c r="D37" s="10" t="s">
        <v>52</v>
      </c>
      <c r="E37" s="34" t="s">
        <v>53</v>
      </c>
      <c r="F37" s="12" t="s">
        <v>54</v>
      </c>
      <c r="G37" s="13">
        <f t="shared" si="0"/>
        <v>0</v>
      </c>
      <c r="H37" s="15"/>
      <c r="I37" s="15"/>
      <c r="J37" s="15"/>
      <c r="K37" s="15"/>
      <c r="L37" s="61"/>
      <c r="M37" s="49"/>
      <c r="P37" s="67"/>
    </row>
    <row r="38" spans="3:16" s="60" customFormat="1" ht="12.75" x14ac:dyDescent="0.2">
      <c r="C38" s="9"/>
      <c r="D38" s="10" t="s">
        <v>55</v>
      </c>
      <c r="E38" s="14" t="s">
        <v>56</v>
      </c>
      <c r="F38" s="12" t="s">
        <v>57</v>
      </c>
      <c r="G38" s="13">
        <f t="shared" si="0"/>
        <v>2942.4900000000002</v>
      </c>
      <c r="H38" s="15"/>
      <c r="I38" s="15">
        <f>4445.322-I43</f>
        <v>650.20700000000033</v>
      </c>
      <c r="J38" s="15">
        <v>1423.5509999999999</v>
      </c>
      <c r="K38" s="15">
        <v>868.73199999999997</v>
      </c>
      <c r="L38" s="61"/>
      <c r="M38" s="49"/>
      <c r="P38" s="67"/>
    </row>
    <row r="39" spans="3:16" s="60" customFormat="1" ht="12.75" x14ac:dyDescent="0.2">
      <c r="C39" s="9"/>
      <c r="D39" s="10" t="s">
        <v>58</v>
      </c>
      <c r="E39" s="34" t="s">
        <v>59</v>
      </c>
      <c r="F39" s="12" t="s">
        <v>60</v>
      </c>
      <c r="G39" s="13">
        <f t="shared" si="0"/>
        <v>0</v>
      </c>
      <c r="H39" s="15"/>
      <c r="I39" s="15"/>
      <c r="J39" s="15"/>
      <c r="K39" s="15"/>
      <c r="L39" s="61"/>
      <c r="M39" s="49"/>
      <c r="P39" s="67"/>
    </row>
    <row r="40" spans="3:16" s="60" customFormat="1" ht="12.75" x14ac:dyDescent="0.2">
      <c r="C40" s="9"/>
      <c r="D40" s="10" t="s">
        <v>61</v>
      </c>
      <c r="E40" s="35" t="s">
        <v>53</v>
      </c>
      <c r="F40" s="12" t="s">
        <v>62</v>
      </c>
      <c r="G40" s="13">
        <f t="shared" si="0"/>
        <v>0</v>
      </c>
      <c r="H40" s="15"/>
      <c r="I40" s="15"/>
      <c r="J40" s="15"/>
      <c r="K40" s="15"/>
      <c r="L40" s="61"/>
      <c r="M40" s="49"/>
      <c r="P40" s="67"/>
    </row>
    <row r="41" spans="3:16" s="60" customFormat="1" ht="12.75" x14ac:dyDescent="0.2">
      <c r="C41" s="9"/>
      <c r="D41" s="10" t="s">
        <v>63</v>
      </c>
      <c r="E41" s="14" t="s">
        <v>64</v>
      </c>
      <c r="F41" s="12" t="s">
        <v>65</v>
      </c>
      <c r="G41" s="13">
        <f t="shared" si="0"/>
        <v>3795.1149999999998</v>
      </c>
      <c r="H41" s="13">
        <f>SUM(H42:H44)</f>
        <v>0</v>
      </c>
      <c r="I41" s="13">
        <f>SUM(I42:I44)</f>
        <v>3795.1149999999998</v>
      </c>
      <c r="J41" s="13">
        <f>SUM(J42:J44)</f>
        <v>0</v>
      </c>
      <c r="K41" s="13">
        <f>SUM(K42:K44)</f>
        <v>0</v>
      </c>
      <c r="L41" s="61"/>
      <c r="M41" s="49"/>
      <c r="P41" s="67"/>
    </row>
    <row r="42" spans="3:16" s="60" customFormat="1" ht="12.75" x14ac:dyDescent="0.2">
      <c r="C42" s="9"/>
      <c r="D42" s="16" t="s">
        <v>66</v>
      </c>
      <c r="E42" s="17"/>
      <c r="F42" s="18" t="s">
        <v>65</v>
      </c>
      <c r="G42" s="19"/>
      <c r="H42" s="19"/>
      <c r="I42" s="19"/>
      <c r="J42" s="19"/>
      <c r="K42" s="19"/>
      <c r="L42" s="61"/>
      <c r="M42" s="49"/>
      <c r="P42" s="67"/>
    </row>
    <row r="43" spans="3:16" s="60" customFormat="1" ht="15" x14ac:dyDescent="0.25">
      <c r="C43" s="24" t="s">
        <v>29</v>
      </c>
      <c r="D43" s="25" t="s">
        <v>67</v>
      </c>
      <c r="E43" s="26" t="s">
        <v>68</v>
      </c>
      <c r="F43" s="27">
        <v>751</v>
      </c>
      <c r="G43" s="28">
        <f>SUM(H43:K43)</f>
        <v>3795.1149999999998</v>
      </c>
      <c r="H43" s="29"/>
      <c r="I43" s="29">
        <v>3795.1149999999998</v>
      </c>
      <c r="J43" s="29"/>
      <c r="K43" s="30"/>
      <c r="L43" s="61"/>
      <c r="M43" s="69" t="s">
        <v>330</v>
      </c>
      <c r="N43" s="70" t="s">
        <v>331</v>
      </c>
      <c r="O43" s="70" t="s">
        <v>332</v>
      </c>
    </row>
    <row r="44" spans="3:16" s="60" customFormat="1" ht="12.75" x14ac:dyDescent="0.2">
      <c r="C44" s="9"/>
      <c r="D44" s="36"/>
      <c r="E44" s="21" t="s">
        <v>20</v>
      </c>
      <c r="F44" s="22"/>
      <c r="G44" s="22"/>
      <c r="H44" s="22"/>
      <c r="I44" s="22"/>
      <c r="J44" s="22"/>
      <c r="K44" s="23"/>
      <c r="L44" s="61"/>
      <c r="M44" s="49"/>
      <c r="P44" s="67"/>
    </row>
    <row r="45" spans="3:16" s="60" customFormat="1" ht="12.75" x14ac:dyDescent="0.2">
      <c r="C45" s="9"/>
      <c r="D45" s="10" t="s">
        <v>69</v>
      </c>
      <c r="E45" s="37" t="s">
        <v>70</v>
      </c>
      <c r="F45" s="12" t="s">
        <v>71</v>
      </c>
      <c r="G45" s="13">
        <f t="shared" si="0"/>
        <v>0</v>
      </c>
      <c r="H45" s="15"/>
      <c r="I45" s="15"/>
      <c r="J45" s="15"/>
      <c r="K45" s="15"/>
      <c r="L45" s="61"/>
      <c r="M45" s="49"/>
      <c r="P45" s="67">
        <v>120</v>
      </c>
    </row>
    <row r="46" spans="3:16" s="60" customFormat="1" ht="12.75" x14ac:dyDescent="0.2">
      <c r="C46" s="9"/>
      <c r="D46" s="10" t="s">
        <v>72</v>
      </c>
      <c r="E46" s="11" t="s">
        <v>73</v>
      </c>
      <c r="F46" s="12" t="s">
        <v>74</v>
      </c>
      <c r="G46" s="13">
        <f t="shared" si="0"/>
        <v>2608.3000000000002</v>
      </c>
      <c r="H46" s="15">
        <f>H26-H49-H35</f>
        <v>797.61</v>
      </c>
      <c r="I46" s="15">
        <f>I15-I35-I49</f>
        <v>919.40199999999993</v>
      </c>
      <c r="J46" s="15">
        <f>J24+J29+J17-J35-J49</f>
        <v>891.28800000000012</v>
      </c>
      <c r="K46" s="15">
        <f>K32-K35-K49</f>
        <v>3.907985046680551E-14</v>
      </c>
      <c r="L46" s="61"/>
      <c r="M46" s="49"/>
      <c r="P46" s="67">
        <v>150</v>
      </c>
    </row>
    <row r="47" spans="3:16" s="60" customFormat="1" ht="12.75" x14ac:dyDescent="0.2">
      <c r="C47" s="9"/>
      <c r="D47" s="10" t="s">
        <v>75</v>
      </c>
      <c r="E47" s="11" t="s">
        <v>76</v>
      </c>
      <c r="F47" s="12" t="s">
        <v>77</v>
      </c>
      <c r="G47" s="13">
        <f t="shared" si="0"/>
        <v>0</v>
      </c>
      <c r="H47" s="15"/>
      <c r="I47" s="15"/>
      <c r="J47" s="15"/>
      <c r="K47" s="15"/>
      <c r="L47" s="61"/>
      <c r="M47" s="49"/>
      <c r="P47" s="67">
        <v>160</v>
      </c>
    </row>
    <row r="48" spans="3:16" s="60" customFormat="1" ht="12.75" x14ac:dyDescent="0.2">
      <c r="C48" s="9"/>
      <c r="D48" s="10" t="s">
        <v>78</v>
      </c>
      <c r="E48" s="11" t="s">
        <v>79</v>
      </c>
      <c r="F48" s="12" t="s">
        <v>80</v>
      </c>
      <c r="G48" s="13">
        <f t="shared" si="0"/>
        <v>0</v>
      </c>
      <c r="H48" s="15"/>
      <c r="I48" s="15"/>
      <c r="J48" s="15"/>
      <c r="K48" s="15"/>
      <c r="L48" s="61"/>
      <c r="M48" s="49"/>
      <c r="P48" s="67">
        <v>180</v>
      </c>
    </row>
    <row r="49" spans="3:16" s="60" customFormat="1" ht="12.75" x14ac:dyDescent="0.2">
      <c r="C49" s="9"/>
      <c r="D49" s="10" t="s">
        <v>81</v>
      </c>
      <c r="E49" s="11" t="s">
        <v>82</v>
      </c>
      <c r="F49" s="12" t="s">
        <v>83</v>
      </c>
      <c r="G49" s="13">
        <f t="shared" si="0"/>
        <v>101.96499999999999</v>
      </c>
      <c r="H49" s="15">
        <v>0.108</v>
      </c>
      <c r="I49" s="15">
        <v>37.851999999999997</v>
      </c>
      <c r="J49" s="15">
        <v>41.448999999999998</v>
      </c>
      <c r="K49" s="15">
        <v>22.556000000000001</v>
      </c>
      <c r="L49" s="61"/>
      <c r="M49" s="49"/>
      <c r="P49" s="67">
        <v>190</v>
      </c>
    </row>
    <row r="50" spans="3:16" s="60" customFormat="1" ht="12.75" x14ac:dyDescent="0.2">
      <c r="C50" s="9"/>
      <c r="D50" s="10" t="s">
        <v>84</v>
      </c>
      <c r="E50" s="14" t="s">
        <v>85</v>
      </c>
      <c r="F50" s="12" t="s">
        <v>86</v>
      </c>
      <c r="G50" s="13">
        <f t="shared" si="0"/>
        <v>0</v>
      </c>
      <c r="H50" s="15"/>
      <c r="I50" s="15"/>
      <c r="J50" s="15"/>
      <c r="K50" s="15"/>
      <c r="L50" s="61"/>
      <c r="M50" s="49"/>
      <c r="P50" s="67">
        <v>200</v>
      </c>
    </row>
    <row r="51" spans="3:16" s="60" customFormat="1" ht="22.5" x14ac:dyDescent="0.2">
      <c r="C51" s="9"/>
      <c r="D51" s="10" t="s">
        <v>87</v>
      </c>
      <c r="E51" s="11" t="s">
        <v>88</v>
      </c>
      <c r="F51" s="12" t="s">
        <v>89</v>
      </c>
      <c r="G51" s="13">
        <f t="shared" si="0"/>
        <v>150.31700000000001</v>
      </c>
      <c r="H51" s="15"/>
      <c r="I51" s="15">
        <f>150.317*0.2468</f>
        <v>37.098235600000002</v>
      </c>
      <c r="J51" s="15">
        <f>150.317*0.3291</f>
        <v>49.469324700000001</v>
      </c>
      <c r="K51" s="15">
        <f>150.317*0.4241</f>
        <v>63.749439699999996</v>
      </c>
      <c r="L51" s="61"/>
      <c r="M51" s="49"/>
      <c r="P51" s="68"/>
    </row>
    <row r="52" spans="3:16" s="60" customFormat="1" ht="33.75" x14ac:dyDescent="0.2">
      <c r="C52" s="9"/>
      <c r="D52" s="10" t="s">
        <v>90</v>
      </c>
      <c r="E52" s="32" t="s">
        <v>91</v>
      </c>
      <c r="F52" s="12" t="s">
        <v>92</v>
      </c>
      <c r="G52" s="13">
        <f t="shared" si="0"/>
        <v>-48.352000000000011</v>
      </c>
      <c r="H52" s="13">
        <f>H49-H51</f>
        <v>0.108</v>
      </c>
      <c r="I52" s="13">
        <f>I49-I51</f>
        <v>0.75376439999999434</v>
      </c>
      <c r="J52" s="13">
        <f>J49-J51</f>
        <v>-8.0203247000000033</v>
      </c>
      <c r="K52" s="13">
        <f>K49-K51</f>
        <v>-41.193439699999999</v>
      </c>
      <c r="L52" s="61"/>
      <c r="M52" s="49"/>
      <c r="P52" s="68"/>
    </row>
    <row r="53" spans="3:16" s="60" customFormat="1" ht="12.75" x14ac:dyDescent="0.2">
      <c r="C53" s="9"/>
      <c r="D53" s="10" t="s">
        <v>93</v>
      </c>
      <c r="E53" s="11" t="s">
        <v>94</v>
      </c>
      <c r="F53" s="12" t="s">
        <v>95</v>
      </c>
      <c r="G53" s="13">
        <f t="shared" si="0"/>
        <v>0</v>
      </c>
      <c r="H53" s="13">
        <f>(H15+H29+H34)-(H35+H46+H47+H48+H49)</f>
        <v>0</v>
      </c>
      <c r="I53" s="13">
        <f>(I15+I29+I34)-(I35+I46+I47+I48+I49)</f>
        <v>0</v>
      </c>
      <c r="J53" s="13">
        <f>(J15+J29+J34)-(J35+J46+J47+J48+J49)</f>
        <v>0</v>
      </c>
      <c r="K53" s="13">
        <f>(K15+K29+K34)-(K35+K46+K47+K48+K49)</f>
        <v>0</v>
      </c>
      <c r="L53" s="61"/>
      <c r="M53" s="49"/>
      <c r="P53" s="67">
        <v>210</v>
      </c>
    </row>
    <row r="54" spans="3:16" s="60" customFormat="1" ht="12.75" x14ac:dyDescent="0.2">
      <c r="C54" s="9"/>
      <c r="D54" s="99" t="s">
        <v>96</v>
      </c>
      <c r="E54" s="100"/>
      <c r="F54" s="100"/>
      <c r="G54" s="100"/>
      <c r="H54" s="100"/>
      <c r="I54" s="100"/>
      <c r="J54" s="100"/>
      <c r="K54" s="101"/>
      <c r="L54" s="61"/>
      <c r="M54" s="49"/>
      <c r="P54" s="68"/>
    </row>
    <row r="55" spans="3:16" s="60" customFormat="1" ht="12.75" x14ac:dyDescent="0.2">
      <c r="C55" s="9"/>
      <c r="D55" s="10" t="s">
        <v>97</v>
      </c>
      <c r="E55" s="11" t="s">
        <v>13</v>
      </c>
      <c r="F55" s="12" t="s">
        <v>98</v>
      </c>
      <c r="G55" s="13">
        <f t="shared" si="0"/>
        <v>10.177931547619048</v>
      </c>
      <c r="H55" s="13">
        <f>H56+H57+H61+H64</f>
        <v>1.187080357142857</v>
      </c>
      <c r="I55" s="13">
        <f>I56+I57+I61+I64</f>
        <v>8.0395476190476192</v>
      </c>
      <c r="J55" s="13">
        <f>J56+J57+J61+J64</f>
        <v>0.95130357142857136</v>
      </c>
      <c r="K55" s="13">
        <f>K56+K57+K61+K64</f>
        <v>0</v>
      </c>
      <c r="L55" s="61"/>
      <c r="M55" s="49"/>
      <c r="P55" s="67">
        <v>300</v>
      </c>
    </row>
    <row r="56" spans="3:16" s="60" customFormat="1" ht="12.75" x14ac:dyDescent="0.2">
      <c r="C56" s="9"/>
      <c r="D56" s="10" t="s">
        <v>99</v>
      </c>
      <c r="E56" s="14" t="s">
        <v>15</v>
      </c>
      <c r="F56" s="12" t="s">
        <v>100</v>
      </c>
      <c r="G56" s="13">
        <f t="shared" si="0"/>
        <v>0</v>
      </c>
      <c r="H56" s="15"/>
      <c r="I56" s="15"/>
      <c r="J56" s="15"/>
      <c r="K56" s="15"/>
      <c r="L56" s="61"/>
      <c r="M56" s="49"/>
      <c r="P56" s="67">
        <v>310</v>
      </c>
    </row>
    <row r="57" spans="3:16" s="60" customFormat="1" ht="12.75" x14ac:dyDescent="0.2">
      <c r="C57" s="9"/>
      <c r="D57" s="10" t="s">
        <v>101</v>
      </c>
      <c r="E57" s="14" t="s">
        <v>17</v>
      </c>
      <c r="F57" s="12" t="s">
        <v>102</v>
      </c>
      <c r="G57" s="13">
        <f t="shared" si="0"/>
        <v>0</v>
      </c>
      <c r="H57" s="13">
        <f>SUM(H58:H60)</f>
        <v>0</v>
      </c>
      <c r="I57" s="13">
        <f>SUM(I58:I60)</f>
        <v>0</v>
      </c>
      <c r="J57" s="13">
        <f>SUM(J58:J60)</f>
        <v>0</v>
      </c>
      <c r="K57" s="13">
        <f>SUM(K58:K60)</f>
        <v>0</v>
      </c>
      <c r="L57" s="61"/>
      <c r="M57" s="49"/>
      <c r="P57" s="67">
        <v>320</v>
      </c>
    </row>
    <row r="58" spans="3:16" s="60" customFormat="1" ht="12.75" x14ac:dyDescent="0.2">
      <c r="C58" s="9"/>
      <c r="D58" s="16" t="s">
        <v>103</v>
      </c>
      <c r="E58" s="17"/>
      <c r="F58" s="18" t="s">
        <v>102</v>
      </c>
      <c r="G58" s="19"/>
      <c r="H58" s="19"/>
      <c r="I58" s="19"/>
      <c r="J58" s="19"/>
      <c r="K58" s="19"/>
      <c r="L58" s="61"/>
      <c r="M58" s="49"/>
      <c r="P58" s="67"/>
    </row>
    <row r="59" spans="3:16" s="60" customFormat="1" ht="15" x14ac:dyDescent="0.25">
      <c r="C59" s="24" t="s">
        <v>29</v>
      </c>
      <c r="D59" s="25" t="s">
        <v>341</v>
      </c>
      <c r="E59" s="26" t="s">
        <v>337</v>
      </c>
      <c r="F59" s="27">
        <v>1061</v>
      </c>
      <c r="G59" s="28">
        <f>SUM(H59:K59)</f>
        <v>0</v>
      </c>
      <c r="H59" s="29"/>
      <c r="I59" s="29"/>
      <c r="J59" s="29">
        <f>J19/744</f>
        <v>0</v>
      </c>
      <c r="K59" s="30"/>
      <c r="L59" s="61"/>
      <c r="M59" s="69" t="s">
        <v>338</v>
      </c>
      <c r="N59" s="70" t="s">
        <v>339</v>
      </c>
      <c r="O59" s="70" t="s">
        <v>340</v>
      </c>
    </row>
    <row r="60" spans="3:16" s="60" customFormat="1" ht="12.75" x14ac:dyDescent="0.2">
      <c r="C60" s="9"/>
      <c r="D60" s="20"/>
      <c r="E60" s="21" t="s">
        <v>20</v>
      </c>
      <c r="F60" s="22"/>
      <c r="G60" s="22"/>
      <c r="H60" s="22"/>
      <c r="I60" s="22"/>
      <c r="J60" s="22"/>
      <c r="K60" s="23"/>
      <c r="L60" s="61"/>
      <c r="M60" s="49"/>
      <c r="P60" s="67"/>
    </row>
    <row r="61" spans="3:16" s="60" customFormat="1" ht="12.75" x14ac:dyDescent="0.2">
      <c r="C61" s="9"/>
      <c r="D61" s="10" t="s">
        <v>104</v>
      </c>
      <c r="E61" s="14" t="s">
        <v>22</v>
      </c>
      <c r="F61" s="12" t="s">
        <v>105</v>
      </c>
      <c r="G61" s="13">
        <f t="shared" si="0"/>
        <v>0</v>
      </c>
      <c r="H61" s="13">
        <f>SUM(H62:H63)</f>
        <v>0</v>
      </c>
      <c r="I61" s="13">
        <f>SUM(I62:I63)</f>
        <v>0</v>
      </c>
      <c r="J61" s="13">
        <f>SUM(J62:J63)</f>
        <v>0</v>
      </c>
      <c r="K61" s="13">
        <f>SUM(K62:K63)</f>
        <v>0</v>
      </c>
      <c r="L61" s="61"/>
      <c r="M61" s="49"/>
      <c r="P61" s="67"/>
    </row>
    <row r="62" spans="3:16" s="60" customFormat="1" ht="12.75" x14ac:dyDescent="0.2">
      <c r="C62" s="9"/>
      <c r="D62" s="16" t="s">
        <v>106</v>
      </c>
      <c r="E62" s="17"/>
      <c r="F62" s="18" t="s">
        <v>105</v>
      </c>
      <c r="G62" s="19"/>
      <c r="H62" s="19"/>
      <c r="I62" s="19"/>
      <c r="J62" s="19"/>
      <c r="K62" s="19"/>
      <c r="L62" s="61"/>
      <c r="M62" s="49"/>
      <c r="P62" s="67"/>
    </row>
    <row r="63" spans="3:16" s="60" customFormat="1" ht="12.75" x14ac:dyDescent="0.2">
      <c r="C63" s="9"/>
      <c r="D63" s="20"/>
      <c r="E63" s="21" t="s">
        <v>20</v>
      </c>
      <c r="F63" s="22"/>
      <c r="G63" s="22"/>
      <c r="H63" s="22"/>
      <c r="I63" s="22"/>
      <c r="J63" s="22"/>
      <c r="K63" s="23"/>
      <c r="L63" s="61"/>
      <c r="M63" s="49"/>
      <c r="P63" s="67"/>
    </row>
    <row r="64" spans="3:16" s="60" customFormat="1" ht="12.75" x14ac:dyDescent="0.2">
      <c r="C64" s="9"/>
      <c r="D64" s="10" t="s">
        <v>107</v>
      </c>
      <c r="E64" s="14" t="s">
        <v>26</v>
      </c>
      <c r="F64" s="12" t="s">
        <v>108</v>
      </c>
      <c r="G64" s="13">
        <f t="shared" si="0"/>
        <v>10.177931547619048</v>
      </c>
      <c r="H64" s="13">
        <f>SUM(H65:H68)</f>
        <v>1.187080357142857</v>
      </c>
      <c r="I64" s="13">
        <f>SUM(I65:I68)</f>
        <v>8.0395476190476192</v>
      </c>
      <c r="J64" s="13">
        <f>SUM(J65:J68)</f>
        <v>0.95130357142857136</v>
      </c>
      <c r="K64" s="13">
        <f>SUM(K65:K68)</f>
        <v>0</v>
      </c>
      <c r="L64" s="61"/>
      <c r="M64" s="49"/>
      <c r="P64" s="67">
        <v>330</v>
      </c>
    </row>
    <row r="65" spans="3:16" s="60" customFormat="1" ht="12.75" x14ac:dyDescent="0.2">
      <c r="C65" s="9"/>
      <c r="D65" s="16" t="s">
        <v>109</v>
      </c>
      <c r="E65" s="17"/>
      <c r="F65" s="18" t="s">
        <v>108</v>
      </c>
      <c r="G65" s="19"/>
      <c r="H65" s="19"/>
      <c r="I65" s="19"/>
      <c r="J65" s="19"/>
      <c r="K65" s="19"/>
      <c r="L65" s="61"/>
      <c r="M65" s="49"/>
      <c r="P65" s="67"/>
    </row>
    <row r="66" spans="3:16" s="60" customFormat="1" ht="15" x14ac:dyDescent="0.25">
      <c r="C66" s="24" t="s">
        <v>29</v>
      </c>
      <c r="D66" s="25" t="s">
        <v>110</v>
      </c>
      <c r="E66" s="26" t="s">
        <v>344</v>
      </c>
      <c r="F66" s="27">
        <v>1461</v>
      </c>
      <c r="G66" s="28">
        <f>SUM(H66:K66)</f>
        <v>9.7844315476190484</v>
      </c>
      <c r="H66" s="29">
        <f>H26/672</f>
        <v>1.187080357142857</v>
      </c>
      <c r="I66" s="29">
        <f t="shared" ref="I66:J67" si="1">I26/672</f>
        <v>8.0395476190476192</v>
      </c>
      <c r="J66" s="29">
        <f t="shared" si="1"/>
        <v>0.5578035714285714</v>
      </c>
      <c r="K66" s="29"/>
      <c r="L66" s="61"/>
      <c r="M66" s="69" t="s">
        <v>327</v>
      </c>
      <c r="N66" s="70" t="s">
        <v>328</v>
      </c>
      <c r="O66" s="70" t="s">
        <v>329</v>
      </c>
    </row>
    <row r="67" spans="3:16" s="60" customFormat="1" ht="15" x14ac:dyDescent="0.25">
      <c r="C67" s="24" t="s">
        <v>29</v>
      </c>
      <c r="D67" s="25" t="s">
        <v>343</v>
      </c>
      <c r="E67" s="26" t="s">
        <v>68</v>
      </c>
      <c r="F67" s="27">
        <v>1462</v>
      </c>
      <c r="G67" s="28">
        <f>SUM(H67:K67)</f>
        <v>0.39350000000000002</v>
      </c>
      <c r="H67" s="29"/>
      <c r="I67" s="29"/>
      <c r="J67" s="29">
        <f t="shared" si="1"/>
        <v>0.39350000000000002</v>
      </c>
      <c r="K67" s="30"/>
      <c r="L67" s="61"/>
      <c r="M67" s="69" t="s">
        <v>330</v>
      </c>
      <c r="N67" s="70" t="s">
        <v>328</v>
      </c>
      <c r="O67" s="70" t="s">
        <v>332</v>
      </c>
    </row>
    <row r="68" spans="3:16" s="60" customFormat="1" ht="12.75" x14ac:dyDescent="0.2">
      <c r="C68" s="9"/>
      <c r="D68" s="20"/>
      <c r="E68" s="21" t="s">
        <v>20</v>
      </c>
      <c r="F68" s="22"/>
      <c r="G68" s="22"/>
      <c r="H68" s="22"/>
      <c r="I68" s="22"/>
      <c r="J68" s="22"/>
      <c r="K68" s="23"/>
      <c r="L68" s="61"/>
      <c r="M68" s="49"/>
      <c r="P68" s="67"/>
    </row>
    <row r="69" spans="3:16" s="60" customFormat="1" ht="12.75" x14ac:dyDescent="0.2">
      <c r="C69" s="9"/>
      <c r="D69" s="10" t="s">
        <v>111</v>
      </c>
      <c r="E69" s="11" t="s">
        <v>32</v>
      </c>
      <c r="F69" s="12" t="s">
        <v>112</v>
      </c>
      <c r="G69" s="13">
        <f t="shared" si="0"/>
        <v>3.8813988095238092</v>
      </c>
      <c r="H69" s="13">
        <f>H71+H72+H73</f>
        <v>0</v>
      </c>
      <c r="I69" s="13">
        <f>I70+I72+I73</f>
        <v>0</v>
      </c>
      <c r="J69" s="13">
        <f>J70+J71+J73</f>
        <v>2.5550773809523806</v>
      </c>
      <c r="K69" s="13">
        <f>K70+K71+K72</f>
        <v>1.3263214285714287</v>
      </c>
      <c r="L69" s="61"/>
      <c r="M69" s="49"/>
      <c r="P69" s="67">
        <v>340</v>
      </c>
    </row>
    <row r="70" spans="3:16" s="60" customFormat="1" ht="12.75" x14ac:dyDescent="0.2">
      <c r="C70" s="9"/>
      <c r="D70" s="10" t="s">
        <v>113</v>
      </c>
      <c r="E70" s="14" t="s">
        <v>7</v>
      </c>
      <c r="F70" s="12" t="s">
        <v>114</v>
      </c>
      <c r="G70" s="13">
        <f t="shared" si="0"/>
        <v>1.1869196428571429</v>
      </c>
      <c r="H70" s="31"/>
      <c r="I70" s="15"/>
      <c r="J70" s="15">
        <f>J30/672</f>
        <v>1.1869196428571429</v>
      </c>
      <c r="K70" s="15"/>
      <c r="L70" s="61"/>
      <c r="M70" s="49"/>
      <c r="P70" s="67">
        <v>350</v>
      </c>
    </row>
    <row r="71" spans="3:16" s="60" customFormat="1" ht="12.75" x14ac:dyDescent="0.2">
      <c r="C71" s="9"/>
      <c r="D71" s="10" t="s">
        <v>115</v>
      </c>
      <c r="E71" s="14" t="s">
        <v>8</v>
      </c>
      <c r="F71" s="12" t="s">
        <v>116</v>
      </c>
      <c r="G71" s="13">
        <f t="shared" si="0"/>
        <v>1.3681577380952379</v>
      </c>
      <c r="H71" s="15"/>
      <c r="I71" s="38"/>
      <c r="J71" s="15">
        <f>J31/672</f>
        <v>1.3681577380952379</v>
      </c>
      <c r="K71" s="15"/>
      <c r="L71" s="61"/>
      <c r="M71" s="49"/>
      <c r="P71" s="67">
        <v>360</v>
      </c>
    </row>
    <row r="72" spans="3:16" s="60" customFormat="1" ht="12.75" x14ac:dyDescent="0.2">
      <c r="C72" s="9"/>
      <c r="D72" s="10" t="s">
        <v>117</v>
      </c>
      <c r="E72" s="14" t="s">
        <v>9</v>
      </c>
      <c r="F72" s="12" t="s">
        <v>118</v>
      </c>
      <c r="G72" s="13">
        <f t="shared" si="0"/>
        <v>1.3263214285714287</v>
      </c>
      <c r="H72" s="15"/>
      <c r="I72" s="15"/>
      <c r="J72" s="31"/>
      <c r="K72" s="15">
        <f>K32/672</f>
        <v>1.3263214285714287</v>
      </c>
      <c r="L72" s="61"/>
      <c r="M72" s="49"/>
      <c r="P72" s="67">
        <v>370</v>
      </c>
    </row>
    <row r="73" spans="3:16" s="60" customFormat="1" ht="12.75" x14ac:dyDescent="0.2">
      <c r="C73" s="9"/>
      <c r="D73" s="10" t="s">
        <v>119</v>
      </c>
      <c r="E73" s="14" t="s">
        <v>41</v>
      </c>
      <c r="F73" s="12" t="s">
        <v>120</v>
      </c>
      <c r="G73" s="13">
        <f t="shared" si="0"/>
        <v>0</v>
      </c>
      <c r="H73" s="15"/>
      <c r="I73" s="15"/>
      <c r="J73" s="15"/>
      <c r="K73" s="31"/>
      <c r="L73" s="61"/>
      <c r="M73" s="49"/>
      <c r="P73" s="67">
        <v>380</v>
      </c>
    </row>
    <row r="74" spans="3:16" s="60" customFormat="1" ht="12.75" x14ac:dyDescent="0.2">
      <c r="C74" s="9"/>
      <c r="D74" s="10" t="s">
        <v>121</v>
      </c>
      <c r="E74" s="32" t="s">
        <v>44</v>
      </c>
      <c r="F74" s="12" t="s">
        <v>122</v>
      </c>
      <c r="G74" s="13">
        <f t="shared" si="0"/>
        <v>0</v>
      </c>
      <c r="H74" s="15"/>
      <c r="I74" s="15"/>
      <c r="J74" s="15"/>
      <c r="K74" s="15"/>
      <c r="L74" s="61"/>
      <c r="M74" s="49"/>
      <c r="P74" s="67"/>
    </row>
    <row r="75" spans="3:16" s="60" customFormat="1" ht="12.75" x14ac:dyDescent="0.2">
      <c r="C75" s="9"/>
      <c r="D75" s="10" t="s">
        <v>123</v>
      </c>
      <c r="E75" s="11" t="s">
        <v>47</v>
      </c>
      <c r="F75" s="33" t="s">
        <v>124</v>
      </c>
      <c r="G75" s="13">
        <f t="shared" si="0"/>
        <v>10.026197916666668</v>
      </c>
      <c r="H75" s="13">
        <f>H76+H78+H81+H85</f>
        <v>0</v>
      </c>
      <c r="I75" s="13">
        <f>I76+I78+I81+I85</f>
        <v>6.6150625000000005</v>
      </c>
      <c r="J75" s="13">
        <f>J76+J78+J81+J85</f>
        <v>2.1183794642857143</v>
      </c>
      <c r="K75" s="13">
        <f>K76+K78+K81+K85</f>
        <v>1.2927559523809524</v>
      </c>
      <c r="L75" s="61"/>
      <c r="M75" s="49"/>
      <c r="P75" s="67">
        <v>390</v>
      </c>
    </row>
    <row r="76" spans="3:16" s="60" customFormat="1" ht="22.5" x14ac:dyDescent="0.2">
      <c r="C76" s="9"/>
      <c r="D76" s="10" t="s">
        <v>125</v>
      </c>
      <c r="E76" s="14" t="s">
        <v>50</v>
      </c>
      <c r="F76" s="12" t="s">
        <v>126</v>
      </c>
      <c r="G76" s="13">
        <f t="shared" si="0"/>
        <v>0</v>
      </c>
      <c r="H76" s="15"/>
      <c r="I76" s="15"/>
      <c r="J76" s="15"/>
      <c r="K76" s="15"/>
      <c r="L76" s="61"/>
      <c r="M76" s="49"/>
      <c r="P76" s="67"/>
    </row>
    <row r="77" spans="3:16" s="60" customFormat="1" ht="12.75" x14ac:dyDescent="0.2">
      <c r="C77" s="9"/>
      <c r="D77" s="10" t="s">
        <v>127</v>
      </c>
      <c r="E77" s="34" t="s">
        <v>53</v>
      </c>
      <c r="F77" s="12" t="s">
        <v>128</v>
      </c>
      <c r="G77" s="13">
        <f t="shared" si="0"/>
        <v>0</v>
      </c>
      <c r="H77" s="15"/>
      <c r="I77" s="15"/>
      <c r="J77" s="15"/>
      <c r="K77" s="15"/>
      <c r="L77" s="61"/>
      <c r="M77" s="49"/>
      <c r="P77" s="67"/>
    </row>
    <row r="78" spans="3:16" s="60" customFormat="1" ht="12.75" x14ac:dyDescent="0.2">
      <c r="C78" s="9"/>
      <c r="D78" s="10" t="s">
        <v>129</v>
      </c>
      <c r="E78" s="14" t="s">
        <v>56</v>
      </c>
      <c r="F78" s="12" t="s">
        <v>130</v>
      </c>
      <c r="G78" s="13">
        <f t="shared" si="0"/>
        <v>4.3787053571428576</v>
      </c>
      <c r="H78" s="15">
        <f>H38/672</f>
        <v>0</v>
      </c>
      <c r="I78" s="15">
        <f t="shared" ref="I78:K78" si="2">I38/672</f>
        <v>0.96756994047619094</v>
      </c>
      <c r="J78" s="15">
        <f t="shared" si="2"/>
        <v>2.1183794642857143</v>
      </c>
      <c r="K78" s="15">
        <f t="shared" si="2"/>
        <v>1.2927559523809524</v>
      </c>
      <c r="L78" s="61"/>
      <c r="M78" s="49"/>
      <c r="P78" s="67"/>
    </row>
    <row r="79" spans="3:16" s="60" customFormat="1" ht="12.75" x14ac:dyDescent="0.2">
      <c r="C79" s="9"/>
      <c r="D79" s="10" t="s">
        <v>131</v>
      </c>
      <c r="E79" s="34" t="s">
        <v>59</v>
      </c>
      <c r="F79" s="12" t="s">
        <v>132</v>
      </c>
      <c r="G79" s="13">
        <f t="shared" si="0"/>
        <v>0</v>
      </c>
      <c r="H79" s="15"/>
      <c r="I79" s="15"/>
      <c r="J79" s="15"/>
      <c r="K79" s="15"/>
      <c r="L79" s="61"/>
      <c r="M79" s="49"/>
      <c r="P79" s="67"/>
    </row>
    <row r="80" spans="3:16" s="60" customFormat="1" ht="12.75" x14ac:dyDescent="0.2">
      <c r="C80" s="9"/>
      <c r="D80" s="10" t="s">
        <v>133</v>
      </c>
      <c r="E80" s="35" t="s">
        <v>53</v>
      </c>
      <c r="F80" s="12" t="s">
        <v>134</v>
      </c>
      <c r="G80" s="13">
        <f t="shared" si="0"/>
        <v>0</v>
      </c>
      <c r="H80" s="15"/>
      <c r="I80" s="15"/>
      <c r="J80" s="15"/>
      <c r="K80" s="15"/>
      <c r="L80" s="61"/>
      <c r="M80" s="49"/>
      <c r="P80" s="67"/>
    </row>
    <row r="81" spans="3:16" s="60" customFormat="1" ht="12.75" x14ac:dyDescent="0.2">
      <c r="C81" s="9"/>
      <c r="D81" s="10" t="s">
        <v>135</v>
      </c>
      <c r="E81" s="14" t="s">
        <v>64</v>
      </c>
      <c r="F81" s="12" t="s">
        <v>136</v>
      </c>
      <c r="G81" s="13">
        <f t="shared" si="0"/>
        <v>5.6474925595238092</v>
      </c>
      <c r="H81" s="13">
        <f>SUM(H82:H84)</f>
        <v>0</v>
      </c>
      <c r="I81" s="13">
        <f>SUM(I82:I84)</f>
        <v>5.6474925595238092</v>
      </c>
      <c r="J81" s="13">
        <f>SUM(J82:J84)</f>
        <v>0</v>
      </c>
      <c r="K81" s="13">
        <f>SUM(K82:K84)</f>
        <v>0</v>
      </c>
      <c r="L81" s="61"/>
      <c r="M81" s="49"/>
      <c r="P81" s="67"/>
    </row>
    <row r="82" spans="3:16" s="60" customFormat="1" ht="12.75" x14ac:dyDescent="0.2">
      <c r="C82" s="9"/>
      <c r="D82" s="16" t="s">
        <v>137</v>
      </c>
      <c r="E82" s="17"/>
      <c r="F82" s="18" t="s">
        <v>136</v>
      </c>
      <c r="G82" s="19"/>
      <c r="H82" s="19"/>
      <c r="I82" s="19"/>
      <c r="J82" s="19"/>
      <c r="K82" s="19"/>
      <c r="L82" s="61"/>
      <c r="M82" s="49"/>
      <c r="P82" s="67"/>
    </row>
    <row r="83" spans="3:16" s="60" customFormat="1" ht="15" x14ac:dyDescent="0.25">
      <c r="C83" s="24" t="s">
        <v>29</v>
      </c>
      <c r="D83" s="25" t="s">
        <v>138</v>
      </c>
      <c r="E83" s="26" t="s">
        <v>68</v>
      </c>
      <c r="F83" s="27">
        <v>1781</v>
      </c>
      <c r="G83" s="28">
        <f>SUM(H83:K83)</f>
        <v>5.6474925595238092</v>
      </c>
      <c r="H83" s="29"/>
      <c r="I83" s="29">
        <f>I43/672</f>
        <v>5.6474925595238092</v>
      </c>
      <c r="J83" s="29"/>
      <c r="K83" s="30"/>
      <c r="L83" s="61"/>
      <c r="M83" s="69" t="s">
        <v>330</v>
      </c>
      <c r="N83" s="70" t="s">
        <v>331</v>
      </c>
      <c r="O83" s="70" t="s">
        <v>332</v>
      </c>
    </row>
    <row r="84" spans="3:16" s="60" customFormat="1" ht="12.75" x14ac:dyDescent="0.2">
      <c r="C84" s="9"/>
      <c r="D84" s="20"/>
      <c r="E84" s="21" t="s">
        <v>20</v>
      </c>
      <c r="F84" s="22"/>
      <c r="G84" s="22"/>
      <c r="H84" s="22"/>
      <c r="I84" s="22"/>
      <c r="J84" s="22"/>
      <c r="K84" s="23"/>
      <c r="L84" s="61"/>
      <c r="M84" s="49"/>
      <c r="P84" s="67"/>
    </row>
    <row r="85" spans="3:16" s="60" customFormat="1" ht="12.75" x14ac:dyDescent="0.2">
      <c r="C85" s="9"/>
      <c r="D85" s="10" t="s">
        <v>139</v>
      </c>
      <c r="E85" s="37" t="s">
        <v>70</v>
      </c>
      <c r="F85" s="12" t="s">
        <v>140</v>
      </c>
      <c r="G85" s="13">
        <f t="shared" si="0"/>
        <v>0</v>
      </c>
      <c r="H85" s="15"/>
      <c r="I85" s="15"/>
      <c r="J85" s="15"/>
      <c r="K85" s="15"/>
      <c r="L85" s="61"/>
      <c r="M85" s="49"/>
      <c r="P85" s="67">
        <v>410</v>
      </c>
    </row>
    <row r="86" spans="3:16" s="60" customFormat="1" ht="12.75" x14ac:dyDescent="0.2">
      <c r="C86" s="9"/>
      <c r="D86" s="10" t="s">
        <v>141</v>
      </c>
      <c r="E86" s="11" t="s">
        <v>73</v>
      </c>
      <c r="F86" s="12" t="s">
        <v>142</v>
      </c>
      <c r="G86" s="13">
        <f t="shared" si="0"/>
        <v>3.8813988095238092</v>
      </c>
      <c r="H86" s="15">
        <f>H46/672</f>
        <v>1.1869196428571429</v>
      </c>
      <c r="I86" s="15">
        <f t="shared" ref="I86:K86" si="3">I46/672</f>
        <v>1.3681577380952379</v>
      </c>
      <c r="J86" s="15">
        <f t="shared" si="3"/>
        <v>1.3263214285714287</v>
      </c>
      <c r="K86" s="15">
        <f t="shared" si="3"/>
        <v>5.815453938512725E-17</v>
      </c>
      <c r="L86" s="61"/>
      <c r="M86" s="49"/>
      <c r="P86" s="67">
        <v>440</v>
      </c>
    </row>
    <row r="87" spans="3:16" s="60" customFormat="1" ht="12.75" x14ac:dyDescent="0.2">
      <c r="C87" s="9"/>
      <c r="D87" s="10" t="s">
        <v>143</v>
      </c>
      <c r="E87" s="11" t="s">
        <v>76</v>
      </c>
      <c r="F87" s="12" t="s">
        <v>144</v>
      </c>
      <c r="G87" s="13">
        <f t="shared" si="0"/>
        <v>0</v>
      </c>
      <c r="H87" s="15"/>
      <c r="I87" s="15"/>
      <c r="J87" s="15"/>
      <c r="K87" s="15"/>
      <c r="L87" s="61"/>
      <c r="M87" s="49"/>
      <c r="P87" s="67">
        <v>450</v>
      </c>
    </row>
    <row r="88" spans="3:16" s="60" customFormat="1" ht="12.75" x14ac:dyDescent="0.2">
      <c r="C88" s="9"/>
      <c r="D88" s="10" t="s">
        <v>145</v>
      </c>
      <c r="E88" s="11" t="s">
        <v>79</v>
      </c>
      <c r="F88" s="12" t="s">
        <v>146</v>
      </c>
      <c r="G88" s="13">
        <f t="shared" si="0"/>
        <v>0</v>
      </c>
      <c r="H88" s="15"/>
      <c r="I88" s="15"/>
      <c r="J88" s="15"/>
      <c r="K88" s="15"/>
      <c r="L88" s="61"/>
      <c r="M88" s="49"/>
      <c r="P88" s="67">
        <v>470</v>
      </c>
    </row>
    <row r="89" spans="3:16" s="60" customFormat="1" ht="12.75" x14ac:dyDescent="0.2">
      <c r="C89" s="9"/>
      <c r="D89" s="10" t="s">
        <v>147</v>
      </c>
      <c r="E89" s="11" t="s">
        <v>82</v>
      </c>
      <c r="F89" s="12" t="s">
        <v>148</v>
      </c>
      <c r="G89" s="13">
        <f t="shared" si="0"/>
        <v>0.15173363095238096</v>
      </c>
      <c r="H89" s="15">
        <f>H49/672</f>
        <v>1.6071428571428571E-4</v>
      </c>
      <c r="I89" s="15">
        <f t="shared" ref="I89:K89" si="4">I49/672</f>
        <v>5.6327380952380948E-2</v>
      </c>
      <c r="J89" s="15">
        <f t="shared" si="4"/>
        <v>6.1680059523809519E-2</v>
      </c>
      <c r="K89" s="15">
        <f t="shared" si="4"/>
        <v>3.3565476190476194E-2</v>
      </c>
      <c r="L89" s="61"/>
      <c r="M89" s="49"/>
      <c r="P89" s="67">
        <v>480</v>
      </c>
    </row>
    <row r="90" spans="3:16" s="60" customFormat="1" ht="12.75" x14ac:dyDescent="0.2">
      <c r="C90" s="9"/>
      <c r="D90" s="10" t="s">
        <v>149</v>
      </c>
      <c r="E90" s="14" t="s">
        <v>150</v>
      </c>
      <c r="F90" s="12" t="s">
        <v>151</v>
      </c>
      <c r="G90" s="13">
        <f t="shared" si="0"/>
        <v>0</v>
      </c>
      <c r="H90" s="15"/>
      <c r="I90" s="15"/>
      <c r="J90" s="15"/>
      <c r="K90" s="15"/>
      <c r="L90" s="61"/>
      <c r="M90" s="49"/>
      <c r="P90" s="67">
        <v>490</v>
      </c>
    </row>
    <row r="91" spans="3:16" s="60" customFormat="1" ht="22.5" x14ac:dyDescent="0.2">
      <c r="C91" s="9"/>
      <c r="D91" s="10" t="s">
        <v>152</v>
      </c>
      <c r="E91" s="11" t="s">
        <v>88</v>
      </c>
      <c r="F91" s="12" t="s">
        <v>153</v>
      </c>
      <c r="G91" s="13">
        <f t="shared" si="0"/>
        <v>0.22368601190476192</v>
      </c>
      <c r="H91" s="15"/>
      <c r="I91" s="15">
        <f>I51/672</f>
        <v>5.5205707738095244E-2</v>
      </c>
      <c r="J91" s="15">
        <f t="shared" ref="J91:K91" si="5">J51/672</f>
        <v>7.3615066517857139E-2</v>
      </c>
      <c r="K91" s="15">
        <f t="shared" si="5"/>
        <v>9.4865237648809525E-2</v>
      </c>
      <c r="L91" s="61"/>
      <c r="M91" s="49"/>
      <c r="P91" s="67"/>
    </row>
    <row r="92" spans="3:16" s="60" customFormat="1" ht="33.75" x14ac:dyDescent="0.2">
      <c r="C92" s="9"/>
      <c r="D92" s="10" t="s">
        <v>154</v>
      </c>
      <c r="E92" s="32" t="s">
        <v>91</v>
      </c>
      <c r="F92" s="12" t="s">
        <v>155</v>
      </c>
      <c r="G92" s="13">
        <f t="shared" si="0"/>
        <v>-7.1952380952380962E-2</v>
      </c>
      <c r="H92" s="13">
        <f>H89-H91</f>
        <v>1.6071428571428571E-4</v>
      </c>
      <c r="I92" s="13">
        <f>I89-I91</f>
        <v>1.1216732142857039E-3</v>
      </c>
      <c r="J92" s="13">
        <f>J89-J91</f>
        <v>-1.193500699404762E-2</v>
      </c>
      <c r="K92" s="13">
        <f>K89-K91</f>
        <v>-6.1299761458333331E-2</v>
      </c>
      <c r="L92" s="61"/>
      <c r="M92" s="49"/>
      <c r="P92" s="67"/>
    </row>
    <row r="93" spans="3:16" s="60" customFormat="1" ht="12.75" x14ac:dyDescent="0.2">
      <c r="C93" s="9"/>
      <c r="D93" s="10" t="s">
        <v>156</v>
      </c>
      <c r="E93" s="11" t="s">
        <v>94</v>
      </c>
      <c r="F93" s="12" t="s">
        <v>157</v>
      </c>
      <c r="G93" s="13">
        <f t="shared" si="0"/>
        <v>0</v>
      </c>
      <c r="H93" s="13">
        <f>(H55+H69+H74)-(H75+H86+H87+H88+H89)</f>
        <v>0</v>
      </c>
      <c r="I93" s="13">
        <f>(I55+I69+I74)-(I75+I86+I87+I88+I89)</f>
        <v>0</v>
      </c>
      <c r="J93" s="13">
        <f>(J55+J69+J74)-(J75+J86+J87+J88+J89)</f>
        <v>0</v>
      </c>
      <c r="K93" s="13">
        <f>(K55+K69+K74)-(K75+K86+K87+K88+K89)</f>
        <v>0</v>
      </c>
      <c r="L93" s="61"/>
      <c r="M93" s="49"/>
      <c r="P93" s="67">
        <v>500</v>
      </c>
    </row>
    <row r="94" spans="3:16" s="60" customFormat="1" ht="12.75" x14ac:dyDescent="0.2">
      <c r="C94" s="9"/>
      <c r="D94" s="99" t="s">
        <v>158</v>
      </c>
      <c r="E94" s="100"/>
      <c r="F94" s="100"/>
      <c r="G94" s="100"/>
      <c r="H94" s="100"/>
      <c r="I94" s="100"/>
      <c r="J94" s="100"/>
      <c r="K94" s="101"/>
      <c r="L94" s="61"/>
      <c r="M94" s="49"/>
      <c r="P94" s="68"/>
    </row>
    <row r="95" spans="3:16" s="60" customFormat="1" ht="12.75" x14ac:dyDescent="0.2">
      <c r="C95" s="9"/>
      <c r="D95" s="10" t="s">
        <v>159</v>
      </c>
      <c r="E95" s="11" t="s">
        <v>160</v>
      </c>
      <c r="F95" s="12" t="s">
        <v>161</v>
      </c>
      <c r="G95" s="13">
        <f t="shared" si="0"/>
        <v>0</v>
      </c>
      <c r="H95" s="15"/>
      <c r="I95" s="15"/>
      <c r="J95" s="15"/>
      <c r="K95" s="15"/>
      <c r="L95" s="61"/>
      <c r="M95" s="49"/>
      <c r="P95" s="67">
        <v>600</v>
      </c>
    </row>
    <row r="96" spans="3:16" s="60" customFormat="1" ht="12.75" x14ac:dyDescent="0.2">
      <c r="C96" s="9"/>
      <c r="D96" s="10" t="s">
        <v>162</v>
      </c>
      <c r="E96" s="11" t="s">
        <v>163</v>
      </c>
      <c r="F96" s="12" t="s">
        <v>164</v>
      </c>
      <c r="G96" s="13">
        <f t="shared" si="0"/>
        <v>39.573</v>
      </c>
      <c r="H96" s="15"/>
      <c r="I96" s="15">
        <v>39.573</v>
      </c>
      <c r="J96" s="15"/>
      <c r="K96" s="15"/>
      <c r="L96" s="61"/>
      <c r="M96" s="49"/>
      <c r="P96" s="67">
        <v>610</v>
      </c>
    </row>
    <row r="97" spans="3:16" s="60" customFormat="1" ht="12.75" x14ac:dyDescent="0.2">
      <c r="C97" s="9"/>
      <c r="D97" s="10" t="s">
        <v>165</v>
      </c>
      <c r="E97" s="11" t="s">
        <v>166</v>
      </c>
      <c r="F97" s="12" t="s">
        <v>167</v>
      </c>
      <c r="G97" s="13">
        <f t="shared" si="0"/>
        <v>0</v>
      </c>
      <c r="H97" s="15"/>
      <c r="I97" s="15"/>
      <c r="J97" s="15"/>
      <c r="K97" s="15"/>
      <c r="L97" s="61"/>
      <c r="M97" s="49"/>
      <c r="P97" s="67">
        <v>620</v>
      </c>
    </row>
    <row r="98" spans="3:16" s="60" customFormat="1" ht="12.75" x14ac:dyDescent="0.2">
      <c r="C98" s="9"/>
      <c r="D98" s="99" t="s">
        <v>168</v>
      </c>
      <c r="E98" s="100"/>
      <c r="F98" s="100"/>
      <c r="G98" s="100"/>
      <c r="H98" s="100"/>
      <c r="I98" s="100"/>
      <c r="J98" s="100"/>
      <c r="K98" s="101"/>
      <c r="L98" s="61"/>
      <c r="M98" s="49"/>
      <c r="P98" s="68"/>
    </row>
    <row r="99" spans="3:16" s="60" customFormat="1" ht="12.75" x14ac:dyDescent="0.2">
      <c r="C99" s="9"/>
      <c r="D99" s="10" t="s">
        <v>169</v>
      </c>
      <c r="E99" s="11" t="s">
        <v>170</v>
      </c>
      <c r="F99" s="12" t="s">
        <v>171</v>
      </c>
      <c r="G99" s="13">
        <f t="shared" si="0"/>
        <v>0</v>
      </c>
      <c r="H99" s="13">
        <f>SUM(H100:H101)</f>
        <v>0</v>
      </c>
      <c r="I99" s="13">
        <f>SUM(I100:I101)</f>
        <v>0</v>
      </c>
      <c r="J99" s="13">
        <f>SUM(J100:J101)</f>
        <v>0</v>
      </c>
      <c r="K99" s="13">
        <f>SUM(K100:K101)</f>
        <v>0</v>
      </c>
      <c r="L99" s="61"/>
      <c r="M99" s="49"/>
      <c r="P99" s="67">
        <v>700</v>
      </c>
    </row>
    <row r="100" spans="3:16" ht="12.75" x14ac:dyDescent="0.2">
      <c r="C100" s="5"/>
      <c r="D100" s="39" t="s">
        <v>172</v>
      </c>
      <c r="E100" s="14" t="s">
        <v>173</v>
      </c>
      <c r="F100" s="12" t="s">
        <v>174</v>
      </c>
      <c r="G100" s="13">
        <f t="shared" si="0"/>
        <v>0</v>
      </c>
      <c r="H100" s="40"/>
      <c r="I100" s="40"/>
      <c r="J100" s="40"/>
      <c r="K100" s="40"/>
      <c r="L100" s="59"/>
      <c r="M100" s="49"/>
      <c r="P100" s="67">
        <v>710</v>
      </c>
    </row>
    <row r="101" spans="3:16" ht="12.75" x14ac:dyDescent="0.2">
      <c r="C101" s="5"/>
      <c r="D101" s="39" t="s">
        <v>175</v>
      </c>
      <c r="E101" s="14" t="s">
        <v>176</v>
      </c>
      <c r="F101" s="12" t="s">
        <v>177</v>
      </c>
      <c r="G101" s="13">
        <f t="shared" si="0"/>
        <v>0</v>
      </c>
      <c r="H101" s="41">
        <f>H104</f>
        <v>0</v>
      </c>
      <c r="I101" s="41">
        <f>I104</f>
        <v>0</v>
      </c>
      <c r="J101" s="41">
        <f>J104</f>
        <v>0</v>
      </c>
      <c r="K101" s="41">
        <f>K104</f>
        <v>0</v>
      </c>
      <c r="L101" s="59"/>
      <c r="M101" s="49"/>
      <c r="P101" s="67">
        <v>720</v>
      </c>
    </row>
    <row r="102" spans="3:16" ht="12.75" x14ac:dyDescent="0.2">
      <c r="C102" s="5"/>
      <c r="D102" s="39" t="s">
        <v>178</v>
      </c>
      <c r="E102" s="34" t="s">
        <v>179</v>
      </c>
      <c r="F102" s="12" t="s">
        <v>180</v>
      </c>
      <c r="G102" s="13">
        <f t="shared" si="0"/>
        <v>0</v>
      </c>
      <c r="H102" s="40"/>
      <c r="I102" s="40"/>
      <c r="J102" s="40"/>
      <c r="K102" s="40"/>
      <c r="L102" s="59"/>
      <c r="M102" s="49"/>
      <c r="P102" s="67">
        <v>730</v>
      </c>
    </row>
    <row r="103" spans="3:16" ht="12.75" x14ac:dyDescent="0.2">
      <c r="C103" s="5"/>
      <c r="D103" s="39" t="s">
        <v>181</v>
      </c>
      <c r="E103" s="35" t="s">
        <v>182</v>
      </c>
      <c r="F103" s="12" t="s">
        <v>183</v>
      </c>
      <c r="G103" s="13">
        <f t="shared" si="0"/>
        <v>0</v>
      </c>
      <c r="H103" s="40"/>
      <c r="I103" s="40"/>
      <c r="J103" s="40"/>
      <c r="K103" s="40"/>
      <c r="L103" s="59"/>
      <c r="M103" s="49"/>
      <c r="P103" s="67"/>
    </row>
    <row r="104" spans="3:16" ht="12.75" x14ac:dyDescent="0.2">
      <c r="C104" s="5"/>
      <c r="D104" s="39" t="s">
        <v>184</v>
      </c>
      <c r="E104" s="34" t="s">
        <v>185</v>
      </c>
      <c r="F104" s="12" t="s">
        <v>186</v>
      </c>
      <c r="G104" s="13">
        <f t="shared" si="0"/>
        <v>0</v>
      </c>
      <c r="H104" s="40"/>
      <c r="I104" s="40"/>
      <c r="J104" s="40"/>
      <c r="K104" s="40"/>
      <c r="L104" s="59"/>
      <c r="M104" s="49"/>
      <c r="P104" s="67">
        <v>740</v>
      </c>
    </row>
    <row r="105" spans="3:16" ht="12.75" x14ac:dyDescent="0.2">
      <c r="C105" s="5"/>
      <c r="D105" s="39" t="s">
        <v>187</v>
      </c>
      <c r="E105" s="11" t="s">
        <v>188</v>
      </c>
      <c r="F105" s="12" t="s">
        <v>189</v>
      </c>
      <c r="G105" s="13">
        <f t="shared" si="0"/>
        <v>0</v>
      </c>
      <c r="H105" s="41">
        <f>H106+H122</f>
        <v>0</v>
      </c>
      <c r="I105" s="41">
        <f>I106+I122</f>
        <v>0</v>
      </c>
      <c r="J105" s="41">
        <f>J106+J122</f>
        <v>0</v>
      </c>
      <c r="K105" s="41">
        <f>K106+K122</f>
        <v>0</v>
      </c>
      <c r="L105" s="59"/>
      <c r="M105" s="49"/>
      <c r="P105" s="67">
        <v>750</v>
      </c>
    </row>
    <row r="106" spans="3:16" ht="12.75" x14ac:dyDescent="0.2">
      <c r="C106" s="5"/>
      <c r="D106" s="39" t="s">
        <v>190</v>
      </c>
      <c r="E106" s="14" t="s">
        <v>191</v>
      </c>
      <c r="F106" s="12" t="s">
        <v>192</v>
      </c>
      <c r="G106" s="13">
        <f t="shared" si="0"/>
        <v>0</v>
      </c>
      <c r="H106" s="41">
        <f>H107+H108</f>
        <v>0</v>
      </c>
      <c r="I106" s="41">
        <f>I107+I108</f>
        <v>0</v>
      </c>
      <c r="J106" s="41">
        <f>J107+J108</f>
        <v>0</v>
      </c>
      <c r="K106" s="41">
        <f>K107+K108</f>
        <v>0</v>
      </c>
      <c r="L106" s="59"/>
      <c r="M106" s="49"/>
      <c r="P106" s="67">
        <v>760</v>
      </c>
    </row>
    <row r="107" spans="3:16" ht="12.75" x14ac:dyDescent="0.2">
      <c r="C107" s="5"/>
      <c r="D107" s="39" t="s">
        <v>193</v>
      </c>
      <c r="E107" s="34" t="s">
        <v>194</v>
      </c>
      <c r="F107" s="12" t="s">
        <v>195</v>
      </c>
      <c r="G107" s="13">
        <f t="shared" si="0"/>
        <v>0</v>
      </c>
      <c r="H107" s="40"/>
      <c r="I107" s="40"/>
      <c r="J107" s="40"/>
      <c r="K107" s="40"/>
      <c r="L107" s="59"/>
      <c r="M107" s="49"/>
      <c r="P107" s="67"/>
    </row>
    <row r="108" spans="3:16" ht="12.75" x14ac:dyDescent="0.2">
      <c r="C108" s="5"/>
      <c r="D108" s="39" t="s">
        <v>196</v>
      </c>
      <c r="E108" s="34" t="s">
        <v>197</v>
      </c>
      <c r="F108" s="12" t="s">
        <v>198</v>
      </c>
      <c r="G108" s="13">
        <f t="shared" si="0"/>
        <v>0</v>
      </c>
      <c r="H108" s="41">
        <f>H109+H112+H115+H118+H119+H120+H121</f>
        <v>0</v>
      </c>
      <c r="I108" s="41">
        <f>I109+I112+I115+I118+I119+I120+I121</f>
        <v>0</v>
      </c>
      <c r="J108" s="41">
        <f>J109+J112+J115+J118+J119+J120+J121</f>
        <v>0</v>
      </c>
      <c r="K108" s="41">
        <f>K109+K112+K115+K118+K119+K120+K121</f>
        <v>0</v>
      </c>
      <c r="L108" s="59"/>
      <c r="M108" s="49"/>
      <c r="P108" s="67"/>
    </row>
    <row r="109" spans="3:16" ht="45" x14ac:dyDescent="0.2">
      <c r="C109" s="5"/>
      <c r="D109" s="39" t="s">
        <v>199</v>
      </c>
      <c r="E109" s="35" t="s">
        <v>200</v>
      </c>
      <c r="F109" s="12" t="s">
        <v>201</v>
      </c>
      <c r="G109" s="13">
        <f t="shared" si="0"/>
        <v>0</v>
      </c>
      <c r="H109" s="42">
        <f>H110+H111</f>
        <v>0</v>
      </c>
      <c r="I109" s="42">
        <f>I110+I111</f>
        <v>0</v>
      </c>
      <c r="J109" s="42">
        <f>J110+J111</f>
        <v>0</v>
      </c>
      <c r="K109" s="42">
        <f>K110+K111</f>
        <v>0</v>
      </c>
      <c r="L109" s="59"/>
      <c r="M109" s="49"/>
      <c r="P109" s="67"/>
    </row>
    <row r="110" spans="3:16" ht="12.75" x14ac:dyDescent="0.2">
      <c r="C110" s="5"/>
      <c r="D110" s="39" t="s">
        <v>202</v>
      </c>
      <c r="E110" s="43" t="s">
        <v>203</v>
      </c>
      <c r="F110" s="12" t="s">
        <v>204</v>
      </c>
      <c r="G110" s="13">
        <f t="shared" si="0"/>
        <v>0</v>
      </c>
      <c r="H110" s="40"/>
      <c r="I110" s="40"/>
      <c r="J110" s="40"/>
      <c r="K110" s="40"/>
      <c r="L110" s="59"/>
      <c r="M110" s="49"/>
      <c r="P110" s="67"/>
    </row>
    <row r="111" spans="3:16" ht="12.75" x14ac:dyDescent="0.2">
      <c r="C111" s="5"/>
      <c r="D111" s="39" t="s">
        <v>205</v>
      </c>
      <c r="E111" s="43" t="s">
        <v>206</v>
      </c>
      <c r="F111" s="12" t="s">
        <v>207</v>
      </c>
      <c r="G111" s="13">
        <f t="shared" si="0"/>
        <v>0</v>
      </c>
      <c r="H111" s="40"/>
      <c r="I111" s="40"/>
      <c r="J111" s="40"/>
      <c r="K111" s="40"/>
      <c r="L111" s="59"/>
      <c r="M111" s="49"/>
      <c r="P111" s="67"/>
    </row>
    <row r="112" spans="3:16" ht="45" x14ac:dyDescent="0.2">
      <c r="C112" s="5"/>
      <c r="D112" s="39" t="s">
        <v>208</v>
      </c>
      <c r="E112" s="35" t="s">
        <v>209</v>
      </c>
      <c r="F112" s="12" t="s">
        <v>210</v>
      </c>
      <c r="G112" s="13">
        <f t="shared" si="0"/>
        <v>0</v>
      </c>
      <c r="H112" s="42">
        <f>H113+H114</f>
        <v>0</v>
      </c>
      <c r="I112" s="42">
        <f>I113+I114</f>
        <v>0</v>
      </c>
      <c r="J112" s="42">
        <f>J113+J114</f>
        <v>0</v>
      </c>
      <c r="K112" s="42">
        <f>K113+K114</f>
        <v>0</v>
      </c>
      <c r="L112" s="59"/>
      <c r="M112" s="49"/>
      <c r="P112" s="67"/>
    </row>
    <row r="113" spans="3:16" ht="12.75" x14ac:dyDescent="0.2">
      <c r="C113" s="5"/>
      <c r="D113" s="39" t="s">
        <v>211</v>
      </c>
      <c r="E113" s="43" t="s">
        <v>203</v>
      </c>
      <c r="F113" s="12" t="s">
        <v>212</v>
      </c>
      <c r="G113" s="13">
        <f t="shared" si="0"/>
        <v>0</v>
      </c>
      <c r="H113" s="40"/>
      <c r="I113" s="40"/>
      <c r="J113" s="40"/>
      <c r="K113" s="40"/>
      <c r="L113" s="59"/>
      <c r="M113" s="49"/>
      <c r="P113" s="67"/>
    </row>
    <row r="114" spans="3:16" ht="12.75" x14ac:dyDescent="0.2">
      <c r="C114" s="5"/>
      <c r="D114" s="39" t="s">
        <v>213</v>
      </c>
      <c r="E114" s="43" t="s">
        <v>206</v>
      </c>
      <c r="F114" s="12" t="s">
        <v>214</v>
      </c>
      <c r="G114" s="13">
        <f t="shared" si="0"/>
        <v>0</v>
      </c>
      <c r="H114" s="40"/>
      <c r="I114" s="40"/>
      <c r="J114" s="40"/>
      <c r="K114" s="40"/>
      <c r="L114" s="59"/>
      <c r="M114" s="49"/>
      <c r="P114" s="67"/>
    </row>
    <row r="115" spans="3:16" ht="22.5" x14ac:dyDescent="0.2">
      <c r="C115" s="5"/>
      <c r="D115" s="39" t="s">
        <v>215</v>
      </c>
      <c r="E115" s="35" t="s">
        <v>216</v>
      </c>
      <c r="F115" s="12" t="s">
        <v>217</v>
      </c>
      <c r="G115" s="13">
        <f t="shared" si="0"/>
        <v>0</v>
      </c>
      <c r="H115" s="42">
        <f>H116+H117</f>
        <v>0</v>
      </c>
      <c r="I115" s="42">
        <f>I116+I117</f>
        <v>0</v>
      </c>
      <c r="J115" s="42">
        <f>J116+J117</f>
        <v>0</v>
      </c>
      <c r="K115" s="42">
        <f>K116+K117</f>
        <v>0</v>
      </c>
      <c r="L115" s="59"/>
      <c r="M115" s="49"/>
      <c r="P115" s="67"/>
    </row>
    <row r="116" spans="3:16" ht="12.75" x14ac:dyDescent="0.2">
      <c r="C116" s="5"/>
      <c r="D116" s="39" t="s">
        <v>218</v>
      </c>
      <c r="E116" s="43" t="s">
        <v>203</v>
      </c>
      <c r="F116" s="12" t="s">
        <v>219</v>
      </c>
      <c r="G116" s="13">
        <f t="shared" si="0"/>
        <v>0</v>
      </c>
      <c r="H116" s="40"/>
      <c r="I116" s="40"/>
      <c r="J116" s="40"/>
      <c r="K116" s="40"/>
      <c r="L116" s="59"/>
      <c r="M116" s="49"/>
      <c r="P116" s="67"/>
    </row>
    <row r="117" spans="3:16" ht="12.75" x14ac:dyDescent="0.2">
      <c r="C117" s="5"/>
      <c r="D117" s="39" t="s">
        <v>220</v>
      </c>
      <c r="E117" s="43" t="s">
        <v>206</v>
      </c>
      <c r="F117" s="12" t="s">
        <v>221</v>
      </c>
      <c r="G117" s="13">
        <f t="shared" si="0"/>
        <v>0</v>
      </c>
      <c r="H117" s="40"/>
      <c r="I117" s="40"/>
      <c r="J117" s="40"/>
      <c r="K117" s="40"/>
      <c r="L117" s="59"/>
      <c r="M117" s="49"/>
      <c r="P117" s="67"/>
    </row>
    <row r="118" spans="3:16" ht="22.5" x14ac:dyDescent="0.2">
      <c r="C118" s="5"/>
      <c r="D118" s="39" t="s">
        <v>222</v>
      </c>
      <c r="E118" s="35" t="s">
        <v>223</v>
      </c>
      <c r="F118" s="12" t="s">
        <v>224</v>
      </c>
      <c r="G118" s="13">
        <f t="shared" si="0"/>
        <v>0</v>
      </c>
      <c r="H118" s="40"/>
      <c r="I118" s="40"/>
      <c r="J118" s="40"/>
      <c r="K118" s="40"/>
      <c r="L118" s="59"/>
      <c r="M118" s="49"/>
      <c r="P118" s="67"/>
    </row>
    <row r="119" spans="3:16" ht="12.75" x14ac:dyDescent="0.2">
      <c r="C119" s="5"/>
      <c r="D119" s="39" t="s">
        <v>225</v>
      </c>
      <c r="E119" s="35" t="s">
        <v>226</v>
      </c>
      <c r="F119" s="12" t="s">
        <v>227</v>
      </c>
      <c r="G119" s="13">
        <f t="shared" si="0"/>
        <v>0</v>
      </c>
      <c r="H119" s="40"/>
      <c r="I119" s="40"/>
      <c r="J119" s="40"/>
      <c r="K119" s="40"/>
      <c r="L119" s="59"/>
      <c r="M119" s="49"/>
      <c r="P119" s="67"/>
    </row>
    <row r="120" spans="3:16" ht="45" x14ac:dyDescent="0.2">
      <c r="C120" s="5"/>
      <c r="D120" s="39" t="s">
        <v>228</v>
      </c>
      <c r="E120" s="35" t="s">
        <v>229</v>
      </c>
      <c r="F120" s="12" t="s">
        <v>230</v>
      </c>
      <c r="G120" s="13">
        <f t="shared" si="0"/>
        <v>0</v>
      </c>
      <c r="H120" s="40"/>
      <c r="I120" s="40"/>
      <c r="J120" s="40"/>
      <c r="K120" s="40"/>
      <c r="L120" s="59"/>
      <c r="M120" s="49"/>
      <c r="P120" s="67"/>
    </row>
    <row r="121" spans="3:16" ht="22.5" x14ac:dyDescent="0.2">
      <c r="C121" s="5"/>
      <c r="D121" s="39" t="s">
        <v>231</v>
      </c>
      <c r="E121" s="35" t="s">
        <v>232</v>
      </c>
      <c r="F121" s="12" t="s">
        <v>233</v>
      </c>
      <c r="G121" s="13">
        <f t="shared" si="0"/>
        <v>0</v>
      </c>
      <c r="H121" s="40"/>
      <c r="I121" s="40"/>
      <c r="J121" s="40"/>
      <c r="K121" s="40"/>
      <c r="L121" s="59"/>
      <c r="M121" s="49"/>
      <c r="P121" s="67"/>
    </row>
    <row r="122" spans="3:16" ht="12.75" x14ac:dyDescent="0.2">
      <c r="C122" s="5"/>
      <c r="D122" s="39" t="s">
        <v>234</v>
      </c>
      <c r="E122" s="14" t="s">
        <v>235</v>
      </c>
      <c r="F122" s="12" t="s">
        <v>236</v>
      </c>
      <c r="G122" s="13">
        <f t="shared" si="0"/>
        <v>0</v>
      </c>
      <c r="H122" s="41">
        <f>H125</f>
        <v>0</v>
      </c>
      <c r="I122" s="41">
        <f>I125</f>
        <v>0</v>
      </c>
      <c r="J122" s="41">
        <f>J125</f>
        <v>0</v>
      </c>
      <c r="K122" s="41">
        <f>K125</f>
        <v>0</v>
      </c>
      <c r="L122" s="59"/>
      <c r="M122" s="49"/>
      <c r="P122" s="67">
        <v>770</v>
      </c>
    </row>
    <row r="123" spans="3:16" ht="12.75" x14ac:dyDescent="0.2">
      <c r="C123" s="5"/>
      <c r="D123" s="39" t="s">
        <v>237</v>
      </c>
      <c r="E123" s="34" t="s">
        <v>179</v>
      </c>
      <c r="F123" s="12" t="s">
        <v>238</v>
      </c>
      <c r="G123" s="13">
        <f t="shared" si="0"/>
        <v>0</v>
      </c>
      <c r="H123" s="40"/>
      <c r="I123" s="40"/>
      <c r="J123" s="40"/>
      <c r="K123" s="40"/>
      <c r="L123" s="59"/>
      <c r="M123" s="49"/>
      <c r="P123" s="67">
        <v>780</v>
      </c>
    </row>
    <row r="124" spans="3:16" ht="12.75" x14ac:dyDescent="0.2">
      <c r="C124" s="5"/>
      <c r="D124" s="39" t="s">
        <v>239</v>
      </c>
      <c r="E124" s="35" t="s">
        <v>240</v>
      </c>
      <c r="F124" s="12" t="s">
        <v>241</v>
      </c>
      <c r="G124" s="13">
        <f t="shared" si="0"/>
        <v>0</v>
      </c>
      <c r="H124" s="40"/>
      <c r="I124" s="40"/>
      <c r="J124" s="40"/>
      <c r="K124" s="40"/>
      <c r="L124" s="59"/>
      <c r="M124" s="49"/>
      <c r="P124" s="67"/>
    </row>
    <row r="125" spans="3:16" ht="12.75" x14ac:dyDescent="0.2">
      <c r="C125" s="5"/>
      <c r="D125" s="39" t="s">
        <v>242</v>
      </c>
      <c r="E125" s="34" t="s">
        <v>185</v>
      </c>
      <c r="F125" s="12" t="s">
        <v>243</v>
      </c>
      <c r="G125" s="13">
        <f t="shared" si="0"/>
        <v>0</v>
      </c>
      <c r="H125" s="40"/>
      <c r="I125" s="40"/>
      <c r="J125" s="40"/>
      <c r="K125" s="40"/>
      <c r="L125" s="59"/>
      <c r="M125" s="49"/>
      <c r="P125" s="67">
        <v>790</v>
      </c>
    </row>
    <row r="126" spans="3:16" ht="22.5" x14ac:dyDescent="0.2">
      <c r="C126" s="5"/>
      <c r="D126" s="39" t="s">
        <v>244</v>
      </c>
      <c r="E126" s="32" t="s">
        <v>245</v>
      </c>
      <c r="F126" s="12" t="s">
        <v>246</v>
      </c>
      <c r="G126" s="13">
        <f t="shared" si="0"/>
        <v>6839.57</v>
      </c>
      <c r="H126" s="41">
        <f>SUM(H127:H128)</f>
        <v>0.108</v>
      </c>
      <c r="I126" s="41">
        <f>SUM(I127:I128)</f>
        <v>4536.0659999999998</v>
      </c>
      <c r="J126" s="41">
        <f>SUM(J127:J128)</f>
        <v>1434.664</v>
      </c>
      <c r="K126" s="41">
        <f>SUM(K127:K128)</f>
        <v>868.73199999999997</v>
      </c>
      <c r="L126" s="59"/>
      <c r="M126" s="49"/>
      <c r="P126" s="67"/>
    </row>
    <row r="127" spans="3:16" ht="12.75" x14ac:dyDescent="0.2">
      <c r="C127" s="5"/>
      <c r="D127" s="39" t="s">
        <v>247</v>
      </c>
      <c r="E127" s="14" t="s">
        <v>173</v>
      </c>
      <c r="F127" s="12" t="s">
        <v>248</v>
      </c>
      <c r="G127" s="13">
        <f t="shared" si="0"/>
        <v>0</v>
      </c>
      <c r="H127" s="40"/>
      <c r="I127" s="40"/>
      <c r="J127" s="40"/>
      <c r="K127" s="40"/>
      <c r="L127" s="59"/>
      <c r="M127" s="49"/>
      <c r="P127" s="67"/>
    </row>
    <row r="128" spans="3:16" ht="12.75" x14ac:dyDescent="0.2">
      <c r="C128" s="5"/>
      <c r="D128" s="39" t="s">
        <v>249</v>
      </c>
      <c r="E128" s="14" t="s">
        <v>176</v>
      </c>
      <c r="F128" s="12" t="s">
        <v>250</v>
      </c>
      <c r="G128" s="13">
        <f t="shared" si="0"/>
        <v>6839.57</v>
      </c>
      <c r="H128" s="41">
        <f>H130</f>
        <v>0.108</v>
      </c>
      <c r="I128" s="41">
        <f>I130</f>
        <v>4536.0659999999998</v>
      </c>
      <c r="J128" s="41">
        <f>J130</f>
        <v>1434.664</v>
      </c>
      <c r="K128" s="41">
        <f>K130</f>
        <v>868.73199999999997</v>
      </c>
      <c r="L128" s="59"/>
      <c r="M128" s="49"/>
      <c r="P128" s="67"/>
    </row>
    <row r="129" spans="3:16" ht="12.75" x14ac:dyDescent="0.2">
      <c r="C129" s="5"/>
      <c r="D129" s="39" t="s">
        <v>251</v>
      </c>
      <c r="E129" s="34" t="s">
        <v>252</v>
      </c>
      <c r="F129" s="12" t="s">
        <v>253</v>
      </c>
      <c r="G129" s="13">
        <f t="shared" si="0"/>
        <v>44.622999999999998</v>
      </c>
      <c r="H129" s="40"/>
      <c r="I129" s="40">
        <v>44.622999999999998</v>
      </c>
      <c r="J129" s="40"/>
      <c r="K129" s="40"/>
      <c r="L129" s="59"/>
      <c r="M129" s="49"/>
      <c r="P129" s="67"/>
    </row>
    <row r="130" spans="3:16" ht="12.75" x14ac:dyDescent="0.2">
      <c r="C130" s="5"/>
      <c r="D130" s="39" t="s">
        <v>254</v>
      </c>
      <c r="E130" s="34" t="s">
        <v>185</v>
      </c>
      <c r="F130" s="12" t="s">
        <v>255</v>
      </c>
      <c r="G130" s="13">
        <f t="shared" si="0"/>
        <v>6839.57</v>
      </c>
      <c r="H130" s="40">
        <f>H49+H35</f>
        <v>0.108</v>
      </c>
      <c r="I130" s="40">
        <f>I35+90.744</f>
        <v>4536.0659999999998</v>
      </c>
      <c r="J130" s="40">
        <f>J35+11.113</f>
        <v>1434.664</v>
      </c>
      <c r="K130" s="40">
        <f>K35</f>
        <v>868.73199999999997</v>
      </c>
      <c r="L130" s="59"/>
      <c r="M130" s="49"/>
      <c r="P130" s="67"/>
    </row>
    <row r="131" spans="3:16" ht="12.75" x14ac:dyDescent="0.2">
      <c r="C131" s="5"/>
      <c r="D131" s="99" t="s">
        <v>256</v>
      </c>
      <c r="E131" s="100"/>
      <c r="F131" s="100"/>
      <c r="G131" s="100"/>
      <c r="H131" s="100"/>
      <c r="I131" s="100"/>
      <c r="J131" s="100"/>
      <c r="K131" s="101"/>
      <c r="L131" s="59"/>
      <c r="M131" s="49"/>
      <c r="P131" s="71"/>
    </row>
    <row r="132" spans="3:16" ht="22.5" x14ac:dyDescent="0.2">
      <c r="C132" s="5"/>
      <c r="D132" s="39" t="s">
        <v>257</v>
      </c>
      <c r="E132" s="11" t="s">
        <v>258</v>
      </c>
      <c r="F132" s="12" t="s">
        <v>259</v>
      </c>
      <c r="G132" s="13">
        <f t="shared" si="0"/>
        <v>0</v>
      </c>
      <c r="H132" s="41">
        <f>SUM( H133:H134)</f>
        <v>0</v>
      </c>
      <c r="I132" s="41">
        <f>SUM( I133:I134)</f>
        <v>0</v>
      </c>
      <c r="J132" s="41">
        <f>SUM( J133:J134)</f>
        <v>0</v>
      </c>
      <c r="K132" s="41">
        <f>SUM( K133:K134)</f>
        <v>0</v>
      </c>
      <c r="L132" s="59"/>
      <c r="M132" s="49"/>
      <c r="P132" s="67">
        <v>800</v>
      </c>
    </row>
    <row r="133" spans="3:16" ht="12.75" x14ac:dyDescent="0.2">
      <c r="C133" s="5"/>
      <c r="D133" s="39" t="s">
        <v>260</v>
      </c>
      <c r="E133" s="14" t="s">
        <v>173</v>
      </c>
      <c r="F133" s="12" t="s">
        <v>261</v>
      </c>
      <c r="G133" s="13">
        <f t="shared" si="0"/>
        <v>0</v>
      </c>
      <c r="H133" s="40"/>
      <c r="I133" s="40"/>
      <c r="J133" s="40"/>
      <c r="K133" s="40"/>
      <c r="L133" s="59"/>
      <c r="M133" s="49"/>
      <c r="P133" s="67">
        <v>810</v>
      </c>
    </row>
    <row r="134" spans="3:16" ht="12.75" x14ac:dyDescent="0.2">
      <c r="C134" s="5"/>
      <c r="D134" s="39" t="s">
        <v>262</v>
      </c>
      <c r="E134" s="14" t="s">
        <v>176</v>
      </c>
      <c r="F134" s="12" t="s">
        <v>263</v>
      </c>
      <c r="G134" s="13">
        <f t="shared" si="0"/>
        <v>0</v>
      </c>
      <c r="H134" s="41">
        <f>H135+H137</f>
        <v>0</v>
      </c>
      <c r="I134" s="41">
        <f>I135+I137</f>
        <v>0</v>
      </c>
      <c r="J134" s="41">
        <f>J135+J137</f>
        <v>0</v>
      </c>
      <c r="K134" s="41">
        <f>K135+K137</f>
        <v>0</v>
      </c>
      <c r="L134" s="59"/>
      <c r="M134" s="49"/>
      <c r="P134" s="67">
        <v>820</v>
      </c>
    </row>
    <row r="135" spans="3:16" ht="12.75" x14ac:dyDescent="0.2">
      <c r="C135" s="5"/>
      <c r="D135" s="39" t="s">
        <v>264</v>
      </c>
      <c r="E135" s="34" t="s">
        <v>265</v>
      </c>
      <c r="F135" s="12" t="s">
        <v>266</v>
      </c>
      <c r="G135" s="13">
        <f t="shared" si="0"/>
        <v>0</v>
      </c>
      <c r="H135" s="40"/>
      <c r="I135" s="40"/>
      <c r="J135" s="40"/>
      <c r="K135" s="40"/>
      <c r="L135" s="59"/>
      <c r="M135" s="49"/>
      <c r="P135" s="67">
        <v>830</v>
      </c>
    </row>
    <row r="136" spans="3:16" ht="12.75" x14ac:dyDescent="0.2">
      <c r="C136" s="5"/>
      <c r="D136" s="39" t="s">
        <v>267</v>
      </c>
      <c r="E136" s="35" t="s">
        <v>268</v>
      </c>
      <c r="F136" s="12" t="s">
        <v>269</v>
      </c>
      <c r="G136" s="13">
        <f t="shared" si="0"/>
        <v>0</v>
      </c>
      <c r="H136" s="40"/>
      <c r="I136" s="40"/>
      <c r="J136" s="40"/>
      <c r="K136" s="40"/>
      <c r="L136" s="59"/>
      <c r="M136" s="49"/>
      <c r="P136" s="71"/>
    </row>
    <row r="137" spans="3:16" ht="12.75" x14ac:dyDescent="0.2">
      <c r="C137" s="5"/>
      <c r="D137" s="39" t="s">
        <v>270</v>
      </c>
      <c r="E137" s="34" t="s">
        <v>271</v>
      </c>
      <c r="F137" s="12" t="s">
        <v>272</v>
      </c>
      <c r="G137" s="13">
        <f t="shared" si="0"/>
        <v>0</v>
      </c>
      <c r="H137" s="40"/>
      <c r="I137" s="40"/>
      <c r="J137" s="40"/>
      <c r="K137" s="40"/>
      <c r="L137" s="59"/>
      <c r="M137" s="49"/>
      <c r="P137" s="67">
        <v>840</v>
      </c>
    </row>
    <row r="138" spans="3:16" ht="12.75" x14ac:dyDescent="0.2">
      <c r="C138" s="5"/>
      <c r="D138" s="39" t="s">
        <v>19</v>
      </c>
      <c r="E138" s="11" t="s">
        <v>273</v>
      </c>
      <c r="F138" s="12" t="s">
        <v>274</v>
      </c>
      <c r="G138" s="13">
        <f t="shared" si="0"/>
        <v>0</v>
      </c>
      <c r="H138" s="42">
        <f>SUM( H139+H144)</f>
        <v>0</v>
      </c>
      <c r="I138" s="42">
        <f>SUM( I139+I144)</f>
        <v>0</v>
      </c>
      <c r="J138" s="42">
        <f>SUM( J139+J144)</f>
        <v>0</v>
      </c>
      <c r="K138" s="42">
        <f>SUM( K139+K144)</f>
        <v>0</v>
      </c>
      <c r="L138" s="62"/>
      <c r="M138" s="49"/>
      <c r="P138" s="67">
        <v>850</v>
      </c>
    </row>
    <row r="139" spans="3:16" ht="12.75" x14ac:dyDescent="0.2">
      <c r="C139" s="5"/>
      <c r="D139" s="39" t="s">
        <v>275</v>
      </c>
      <c r="E139" s="14" t="s">
        <v>173</v>
      </c>
      <c r="F139" s="12" t="s">
        <v>276</v>
      </c>
      <c r="G139" s="13">
        <f t="shared" ref="G139:G152" si="6">SUM(H139:K139)</f>
        <v>0</v>
      </c>
      <c r="H139" s="42">
        <f>SUM( H140:H141)</f>
        <v>0</v>
      </c>
      <c r="I139" s="42">
        <f>SUM( I140:I141)</f>
        <v>0</v>
      </c>
      <c r="J139" s="42">
        <f>SUM( J140:J141)</f>
        <v>0</v>
      </c>
      <c r="K139" s="42">
        <f>SUM( K140:K141)</f>
        <v>0</v>
      </c>
      <c r="L139" s="62"/>
      <c r="M139" s="49"/>
      <c r="P139" s="67">
        <v>860</v>
      </c>
    </row>
    <row r="140" spans="3:16" ht="12.75" x14ac:dyDescent="0.2">
      <c r="C140" s="5"/>
      <c r="D140" s="39" t="s">
        <v>277</v>
      </c>
      <c r="E140" s="34" t="s">
        <v>194</v>
      </c>
      <c r="F140" s="12" t="s">
        <v>278</v>
      </c>
      <c r="G140" s="13">
        <f t="shared" si="6"/>
        <v>0</v>
      </c>
      <c r="H140" s="44"/>
      <c r="I140" s="44"/>
      <c r="J140" s="44"/>
      <c r="K140" s="44"/>
      <c r="L140" s="62"/>
      <c r="M140" s="49"/>
      <c r="P140" s="67"/>
    </row>
    <row r="141" spans="3:16" ht="12.75" x14ac:dyDescent="0.2">
      <c r="C141" s="5"/>
      <c r="D141" s="39" t="s">
        <v>279</v>
      </c>
      <c r="E141" s="34" t="s">
        <v>197</v>
      </c>
      <c r="F141" s="12" t="s">
        <v>280</v>
      </c>
      <c r="G141" s="13">
        <f t="shared" si="6"/>
        <v>0</v>
      </c>
      <c r="H141" s="42">
        <f>H142+H143</f>
        <v>0</v>
      </c>
      <c r="I141" s="42">
        <f>I142+I143</f>
        <v>0</v>
      </c>
      <c r="J141" s="42">
        <f>J142+J143</f>
        <v>0</v>
      </c>
      <c r="K141" s="42">
        <f>K142+K143</f>
        <v>0</v>
      </c>
      <c r="L141" s="62"/>
      <c r="M141" s="49"/>
      <c r="P141" s="67"/>
    </row>
    <row r="142" spans="3:16" ht="12.75" x14ac:dyDescent="0.2">
      <c r="C142" s="5"/>
      <c r="D142" s="39" t="s">
        <v>281</v>
      </c>
      <c r="E142" s="35" t="s">
        <v>203</v>
      </c>
      <c r="F142" s="12" t="s">
        <v>282</v>
      </c>
      <c r="G142" s="13">
        <f t="shared" si="6"/>
        <v>0</v>
      </c>
      <c r="H142" s="44"/>
      <c r="I142" s="44"/>
      <c r="J142" s="44"/>
      <c r="K142" s="44"/>
      <c r="L142" s="62"/>
      <c r="M142" s="49"/>
      <c r="P142" s="67"/>
    </row>
    <row r="143" spans="3:16" ht="12.75" x14ac:dyDescent="0.2">
      <c r="C143" s="5"/>
      <c r="D143" s="39" t="s">
        <v>283</v>
      </c>
      <c r="E143" s="35" t="s">
        <v>284</v>
      </c>
      <c r="F143" s="12" t="s">
        <v>285</v>
      </c>
      <c r="G143" s="13">
        <f t="shared" si="6"/>
        <v>0</v>
      </c>
      <c r="H143" s="44"/>
      <c r="I143" s="44"/>
      <c r="J143" s="44"/>
      <c r="K143" s="44"/>
      <c r="L143" s="62"/>
      <c r="M143" s="49"/>
      <c r="P143" s="67"/>
    </row>
    <row r="144" spans="3:16" ht="12.75" x14ac:dyDescent="0.2">
      <c r="C144" s="5"/>
      <c r="D144" s="39" t="s">
        <v>286</v>
      </c>
      <c r="E144" s="14" t="s">
        <v>235</v>
      </c>
      <c r="F144" s="12" t="s">
        <v>287</v>
      </c>
      <c r="G144" s="13">
        <f t="shared" si="6"/>
        <v>0</v>
      </c>
      <c r="H144" s="42">
        <f>H145+H147</f>
        <v>0</v>
      </c>
      <c r="I144" s="42">
        <f>I145+I147</f>
        <v>0</v>
      </c>
      <c r="J144" s="42">
        <f>J145+J147</f>
        <v>0</v>
      </c>
      <c r="K144" s="42">
        <f>K145+K147</f>
        <v>0</v>
      </c>
      <c r="L144" s="62"/>
      <c r="M144" s="49"/>
      <c r="P144" s="67">
        <v>870</v>
      </c>
    </row>
    <row r="145" spans="3:19" ht="12.75" x14ac:dyDescent="0.2">
      <c r="C145" s="5"/>
      <c r="D145" s="39" t="s">
        <v>288</v>
      </c>
      <c r="E145" s="34" t="s">
        <v>265</v>
      </c>
      <c r="F145" s="12" t="s">
        <v>289</v>
      </c>
      <c r="G145" s="13">
        <f t="shared" si="6"/>
        <v>0</v>
      </c>
      <c r="H145" s="40"/>
      <c r="I145" s="40"/>
      <c r="J145" s="40"/>
      <c r="K145" s="40"/>
      <c r="L145" s="62"/>
      <c r="M145" s="49"/>
      <c r="P145" s="67">
        <v>880</v>
      </c>
    </row>
    <row r="146" spans="3:19" ht="12.75" x14ac:dyDescent="0.2">
      <c r="C146" s="5"/>
      <c r="D146" s="39" t="s">
        <v>290</v>
      </c>
      <c r="E146" s="35" t="s">
        <v>268</v>
      </c>
      <c r="F146" s="12" t="s">
        <v>291</v>
      </c>
      <c r="G146" s="13">
        <f t="shared" si="6"/>
        <v>0</v>
      </c>
      <c r="H146" s="40"/>
      <c r="I146" s="40"/>
      <c r="J146" s="40"/>
      <c r="K146" s="40"/>
      <c r="L146" s="62"/>
      <c r="M146" s="49"/>
      <c r="P146" s="67"/>
    </row>
    <row r="147" spans="3:19" ht="12.75" x14ac:dyDescent="0.2">
      <c r="C147" s="5"/>
      <c r="D147" s="39" t="s">
        <v>292</v>
      </c>
      <c r="E147" s="34" t="s">
        <v>271</v>
      </c>
      <c r="F147" s="12" t="s">
        <v>293</v>
      </c>
      <c r="G147" s="13">
        <f t="shared" si="6"/>
        <v>0</v>
      </c>
      <c r="H147" s="45"/>
      <c r="I147" s="45"/>
      <c r="J147" s="45"/>
      <c r="K147" s="45"/>
      <c r="L147" s="62"/>
      <c r="M147" s="49"/>
      <c r="P147" s="67">
        <v>890</v>
      </c>
    </row>
    <row r="148" spans="3:19" ht="22.5" x14ac:dyDescent="0.2">
      <c r="C148" s="5"/>
      <c r="D148" s="39" t="s">
        <v>294</v>
      </c>
      <c r="E148" s="11" t="s">
        <v>295</v>
      </c>
      <c r="F148" s="12" t="s">
        <v>296</v>
      </c>
      <c r="G148" s="13">
        <f t="shared" si="6"/>
        <v>3744.0880026359996</v>
      </c>
      <c r="H148" s="46">
        <f>SUM( H149:H150)</f>
        <v>1.1463119999999999E-2</v>
      </c>
      <c r="I148" s="46">
        <f>SUM( I149:I150)</f>
        <v>3499.5940880759999</v>
      </c>
      <c r="J148" s="46">
        <f>SUM( J149:J150)</f>
        <v>152.27523696</v>
      </c>
      <c r="K148" s="46">
        <f>SUM( K149:K150)</f>
        <v>92.20721447999999</v>
      </c>
      <c r="L148" s="62"/>
      <c r="M148" s="49"/>
      <c r="P148" s="67">
        <v>900</v>
      </c>
    </row>
    <row r="149" spans="3:19" ht="12.75" x14ac:dyDescent="0.2">
      <c r="C149" s="5"/>
      <c r="D149" s="39" t="s">
        <v>297</v>
      </c>
      <c r="E149" s="14" t="s">
        <v>173</v>
      </c>
      <c r="F149" s="12" t="s">
        <v>298</v>
      </c>
      <c r="G149" s="13">
        <f t="shared" si="6"/>
        <v>0</v>
      </c>
      <c r="H149" s="45"/>
      <c r="I149" s="45"/>
      <c r="J149" s="45"/>
      <c r="K149" s="45"/>
      <c r="L149" s="62"/>
      <c r="M149" s="49"/>
      <c r="P149" s="67"/>
    </row>
    <row r="150" spans="3:19" ht="12.75" x14ac:dyDescent="0.2">
      <c r="C150" s="5"/>
      <c r="D150" s="39" t="s">
        <v>299</v>
      </c>
      <c r="E150" s="14" t="s">
        <v>176</v>
      </c>
      <c r="F150" s="12" t="s">
        <v>300</v>
      </c>
      <c r="G150" s="13">
        <f t="shared" si="6"/>
        <v>3744.0880026359996</v>
      </c>
      <c r="H150" s="46">
        <f>H151+H152</f>
        <v>1.1463119999999999E-2</v>
      </c>
      <c r="I150" s="46">
        <f>I151+I152</f>
        <v>3499.5940880759999</v>
      </c>
      <c r="J150" s="46">
        <f>J151+J152</f>
        <v>152.27523696</v>
      </c>
      <c r="K150" s="46">
        <f>K151+K152</f>
        <v>92.20721447999999</v>
      </c>
      <c r="L150" s="62"/>
      <c r="M150" s="49"/>
      <c r="P150" s="67"/>
    </row>
    <row r="151" spans="3:19" ht="12.75" x14ac:dyDescent="0.2">
      <c r="C151" s="5"/>
      <c r="D151" s="39" t="s">
        <v>301</v>
      </c>
      <c r="E151" s="34" t="s">
        <v>302</v>
      </c>
      <c r="F151" s="12" t="s">
        <v>303</v>
      </c>
      <c r="G151" s="13">
        <f t="shared" si="6"/>
        <v>3018.1360428359999</v>
      </c>
      <c r="H151" s="45"/>
      <c r="I151" s="45">
        <f>I129*56363.61/1000*1.2</f>
        <v>3018.1360428359999</v>
      </c>
      <c r="J151" s="45"/>
      <c r="K151" s="45"/>
      <c r="L151" s="62"/>
      <c r="M151" s="49"/>
      <c r="P151" s="67" t="s">
        <v>333</v>
      </c>
    </row>
    <row r="152" spans="3:19" ht="12.75" x14ac:dyDescent="0.2">
      <c r="C152" s="5"/>
      <c r="D152" s="39" t="s">
        <v>304</v>
      </c>
      <c r="E152" s="34" t="s">
        <v>271</v>
      </c>
      <c r="F152" s="12" t="s">
        <v>305</v>
      </c>
      <c r="G152" s="13">
        <f t="shared" si="6"/>
        <v>725.95195979999983</v>
      </c>
      <c r="H152" s="45">
        <f>H130*88.45/1000*1.2</f>
        <v>1.1463119999999999E-2</v>
      </c>
      <c r="I152" s="45">
        <f>I130*88.45/1000*1.2</f>
        <v>481.45804523999993</v>
      </c>
      <c r="J152" s="45">
        <f>J130*88.45/1000*1.2</f>
        <v>152.27523696</v>
      </c>
      <c r="K152" s="45">
        <f>K130*88.45/1000*1.2</f>
        <v>92.20721447999999</v>
      </c>
      <c r="L152" s="62"/>
      <c r="M152" s="49"/>
      <c r="P152" s="67" t="s">
        <v>334</v>
      </c>
    </row>
    <row r="153" spans="3:19" x14ac:dyDescent="0.25">
      <c r="D153" s="4"/>
      <c r="E153" s="47"/>
      <c r="F153" s="47"/>
      <c r="G153" s="47"/>
      <c r="H153" s="47"/>
      <c r="I153" s="47"/>
      <c r="J153" s="47"/>
      <c r="K153" s="48"/>
      <c r="L153" s="48"/>
      <c r="M153" s="48"/>
      <c r="N153" s="48"/>
      <c r="O153" s="48"/>
      <c r="P153" s="48"/>
      <c r="Q153" s="48"/>
      <c r="R153" s="63"/>
      <c r="S153" s="63"/>
    </row>
    <row r="154" spans="3:19" ht="12.75" x14ac:dyDescent="0.2">
      <c r="E154" s="49" t="s">
        <v>306</v>
      </c>
      <c r="F154" s="108" t="str">
        <f>IF([1]Титульный!G45="","",[1]Титульный!G45)</f>
        <v>экономист</v>
      </c>
      <c r="G154" s="108"/>
      <c r="H154" s="50"/>
      <c r="I154" s="108" t="str">
        <f>IF([1]Титульный!G44="","",[1]Титульный!G44)</f>
        <v>Кривнева Е. В.</v>
      </c>
      <c r="J154" s="108"/>
      <c r="K154" s="108"/>
      <c r="L154" s="50"/>
      <c r="M154" s="72"/>
      <c r="N154" s="72"/>
      <c r="O154" s="52"/>
      <c r="P154" s="48"/>
      <c r="Q154" s="48"/>
      <c r="R154" s="63"/>
      <c r="S154" s="63"/>
    </row>
    <row r="155" spans="3:19" ht="12.75" x14ac:dyDescent="0.2">
      <c r="E155" s="51" t="s">
        <v>307</v>
      </c>
      <c r="F155" s="109" t="s">
        <v>308</v>
      </c>
      <c r="G155" s="109"/>
      <c r="H155" s="52"/>
      <c r="I155" s="109" t="s">
        <v>309</v>
      </c>
      <c r="J155" s="109"/>
      <c r="K155" s="109"/>
      <c r="L155" s="52"/>
      <c r="M155" s="109" t="s">
        <v>335</v>
      </c>
      <c r="N155" s="109"/>
      <c r="O155" s="49"/>
      <c r="P155" s="48"/>
      <c r="Q155" s="48"/>
      <c r="R155" s="63"/>
      <c r="S155" s="63"/>
    </row>
    <row r="156" spans="3:19" ht="12.75" x14ac:dyDescent="0.2">
      <c r="E156" s="51" t="s">
        <v>310</v>
      </c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8"/>
      <c r="Q156" s="48"/>
      <c r="R156" s="63"/>
      <c r="S156" s="63"/>
    </row>
    <row r="157" spans="3:19" ht="12.75" x14ac:dyDescent="0.2">
      <c r="E157" s="51" t="s">
        <v>311</v>
      </c>
      <c r="F157" s="108" t="str">
        <f>IF([1]Титульный!G46="","",[1]Титульный!G46)</f>
        <v>(861) 258-50-71</v>
      </c>
      <c r="G157" s="108"/>
      <c r="H157" s="108"/>
      <c r="I157" s="49"/>
      <c r="J157" s="51" t="s">
        <v>312</v>
      </c>
      <c r="K157" s="64"/>
      <c r="L157" s="49"/>
      <c r="M157" s="49"/>
      <c r="N157" s="49"/>
      <c r="O157" s="49"/>
      <c r="P157" s="48"/>
      <c r="Q157" s="48"/>
      <c r="R157" s="63"/>
      <c r="S157" s="63"/>
    </row>
    <row r="158" spans="3:19" ht="12.75" x14ac:dyDescent="0.2">
      <c r="E158" s="49" t="s">
        <v>313</v>
      </c>
      <c r="F158" s="110" t="s">
        <v>314</v>
      </c>
      <c r="G158" s="110"/>
      <c r="H158" s="110"/>
      <c r="I158" s="49"/>
      <c r="J158" s="53" t="s">
        <v>315</v>
      </c>
      <c r="K158" s="53"/>
      <c r="L158" s="49"/>
      <c r="M158" s="49"/>
      <c r="N158" s="49"/>
      <c r="O158" s="49"/>
      <c r="P158" s="48"/>
      <c r="Q158" s="48"/>
      <c r="R158" s="63"/>
      <c r="S158" s="63"/>
    </row>
    <row r="159" spans="3:19" x14ac:dyDescent="0.25"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63"/>
      <c r="S159" s="63"/>
    </row>
    <row r="160" spans="3:19" x14ac:dyDescent="0.25"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63"/>
      <c r="S160" s="63"/>
    </row>
    <row r="161" spans="5:19" x14ac:dyDescent="0.25"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63"/>
      <c r="S161" s="63"/>
    </row>
    <row r="162" spans="5:19" x14ac:dyDescent="0.25"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63"/>
      <c r="S162" s="63"/>
    </row>
    <row r="163" spans="5:19" x14ac:dyDescent="0.25"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63"/>
      <c r="S163" s="63"/>
    </row>
    <row r="164" spans="5:19" x14ac:dyDescent="0.25"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63"/>
      <c r="S164" s="63"/>
    </row>
    <row r="165" spans="5:19" x14ac:dyDescent="0.25"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63"/>
      <c r="S165" s="63"/>
    </row>
    <row r="166" spans="5:19" x14ac:dyDescent="0.25"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63"/>
      <c r="S166" s="63"/>
    </row>
    <row r="167" spans="5:19" x14ac:dyDescent="0.25"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63"/>
      <c r="S167" s="63"/>
    </row>
    <row r="168" spans="5:19" x14ac:dyDescent="0.25"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63"/>
      <c r="S168" s="63"/>
    </row>
    <row r="169" spans="5:19" x14ac:dyDescent="0.25"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63"/>
      <c r="S169" s="63"/>
    </row>
    <row r="170" spans="5:19" x14ac:dyDescent="0.25"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63"/>
      <c r="S170" s="63"/>
    </row>
    <row r="171" spans="5:19" x14ac:dyDescent="0.25"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63"/>
      <c r="S171" s="63"/>
    </row>
    <row r="172" spans="5:19" x14ac:dyDescent="0.25"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63"/>
      <c r="S172" s="63"/>
    </row>
    <row r="173" spans="5:19" x14ac:dyDescent="0.25"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63"/>
      <c r="S173" s="63"/>
    </row>
    <row r="174" spans="5:19" x14ac:dyDescent="0.25"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63"/>
      <c r="S174" s="63"/>
    </row>
    <row r="175" spans="5:19" x14ac:dyDescent="0.25"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63"/>
      <c r="S175" s="63"/>
    </row>
    <row r="176" spans="5:19" x14ac:dyDescent="0.25"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63"/>
      <c r="S176" s="63"/>
    </row>
    <row r="177" spans="5:19" x14ac:dyDescent="0.25"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63"/>
      <c r="S177" s="63"/>
    </row>
    <row r="178" spans="5:19" x14ac:dyDescent="0.25"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63"/>
      <c r="S178" s="63"/>
    </row>
    <row r="179" spans="5:19" x14ac:dyDescent="0.25"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63"/>
      <c r="S179" s="63"/>
    </row>
    <row r="180" spans="5:19" x14ac:dyDescent="0.25"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63"/>
      <c r="S180" s="63"/>
    </row>
    <row r="181" spans="5:19" x14ac:dyDescent="0.25"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63"/>
      <c r="S181" s="63"/>
    </row>
    <row r="182" spans="5:19" x14ac:dyDescent="0.25"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63"/>
      <c r="S182" s="63"/>
    </row>
    <row r="183" spans="5:19" x14ac:dyDescent="0.25"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63"/>
      <c r="S183" s="63"/>
    </row>
    <row r="184" spans="5:19" x14ac:dyDescent="0.25"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5:19" x14ac:dyDescent="0.25"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5:19" x14ac:dyDescent="0.25"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5:19" x14ac:dyDescent="0.25"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</sheetData>
  <mergeCells count="18">
    <mergeCell ref="F155:G155"/>
    <mergeCell ref="I155:K155"/>
    <mergeCell ref="M155:N155"/>
    <mergeCell ref="F157:H157"/>
    <mergeCell ref="F158:H158"/>
    <mergeCell ref="D8:E8"/>
    <mergeCell ref="D11:D12"/>
    <mergeCell ref="E11:E12"/>
    <mergeCell ref="F11:F12"/>
    <mergeCell ref="G11:G12"/>
    <mergeCell ref="F154:G154"/>
    <mergeCell ref="I154:K154"/>
    <mergeCell ref="H11:K11"/>
    <mergeCell ref="D54:K54"/>
    <mergeCell ref="D98:K98"/>
    <mergeCell ref="D131:K131"/>
    <mergeCell ref="D14:K14"/>
    <mergeCell ref="D94:K94"/>
  </mergeCells>
  <dataValidations count="2">
    <dataValidation allowBlank="1" showInputMessage="1" promptTitle="Ввод" prompt="Для выбора организации необходимо два раза нажать левую клавишу мыши!" sqref="E59 E43 E26:E27 E83 E19 E66:E67"/>
    <dataValidation type="decimal" allowBlank="1" showErrorMessage="1" errorTitle="Ошибка" error="Допускается ввод только действительных чисел!" sqref="G55:K59 G95:K97 G64:K67 G15:K19 G69:K83 G99:K130 G24:K27 G45:K53 G29:K43 G132:K152 G61:K62 G21:K22 G85:K93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87"/>
  <sheetViews>
    <sheetView topLeftCell="C7" workbookViewId="0">
      <selection activeCell="I130" sqref="I130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 x14ac:dyDescent="0.25">
      <c r="S1" s="54"/>
      <c r="T1" s="54"/>
      <c r="U1" s="54"/>
      <c r="V1" s="54"/>
      <c r="Y1" s="54"/>
      <c r="AA1" s="54"/>
      <c r="AN1" s="54"/>
      <c r="AO1" s="54"/>
      <c r="AP1" s="54"/>
      <c r="BC1" s="54"/>
      <c r="BF1" s="54"/>
      <c r="BI1" s="54"/>
      <c r="BM1" s="54"/>
      <c r="BO1" s="54"/>
      <c r="BX1" s="54"/>
      <c r="BY1" s="54"/>
      <c r="CC1" s="54"/>
    </row>
    <row r="2" spans="1:81" hidden="1" x14ac:dyDescent="0.25"/>
    <row r="3" spans="1:81" hidden="1" x14ac:dyDescent="0.25"/>
    <row r="4" spans="1:81" hidden="1" x14ac:dyDescent="0.25">
      <c r="A4" s="55"/>
      <c r="F4" s="56"/>
      <c r="G4" s="56"/>
      <c r="H4" s="56"/>
      <c r="I4" s="56"/>
      <c r="J4" s="56"/>
      <c r="K4" s="56"/>
      <c r="M4" s="56"/>
      <c r="N4" s="56"/>
      <c r="O4" s="56"/>
      <c r="P4" s="56"/>
      <c r="Q4" s="56"/>
    </row>
    <row r="5" spans="1:81" hidden="1" x14ac:dyDescent="0.25">
      <c r="A5" s="57"/>
      <c r="F5" s="1" t="s">
        <v>316</v>
      </c>
      <c r="G5" s="1" t="s">
        <v>317</v>
      </c>
      <c r="H5" s="1" t="s">
        <v>318</v>
      </c>
      <c r="I5" s="1" t="s">
        <v>319</v>
      </c>
      <c r="J5" s="1" t="s">
        <v>320</v>
      </c>
      <c r="K5" s="1" t="s">
        <v>321</v>
      </c>
      <c r="L5" s="1" t="s">
        <v>322</v>
      </c>
      <c r="M5" s="1" t="s">
        <v>323</v>
      </c>
      <c r="N5" s="1" t="s">
        <v>323</v>
      </c>
      <c r="O5" s="1" t="s">
        <v>324</v>
      </c>
      <c r="P5" s="1" t="s">
        <v>325</v>
      </c>
      <c r="Q5" s="1" t="s">
        <v>326</v>
      </c>
    </row>
    <row r="6" spans="1:81" hidden="1" x14ac:dyDescent="0.25">
      <c r="A6" s="57"/>
    </row>
    <row r="7" spans="1:81" ht="12" customHeight="1" x14ac:dyDescent="0.25">
      <c r="A7" s="57"/>
      <c r="D7" s="5"/>
      <c r="E7" s="5"/>
      <c r="F7" s="5"/>
      <c r="G7" s="5"/>
      <c r="H7" s="5"/>
      <c r="I7" s="5"/>
      <c r="J7" s="5"/>
      <c r="K7" s="58"/>
      <c r="Q7" s="66"/>
    </row>
    <row r="8" spans="1:81" ht="22.5" customHeight="1" x14ac:dyDescent="0.25">
      <c r="A8" s="57"/>
      <c r="D8" s="104" t="s">
        <v>0</v>
      </c>
      <c r="E8" s="10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81" x14ac:dyDescent="0.25">
      <c r="A9" s="57"/>
      <c r="D9" s="73">
        <v>44256</v>
      </c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81" ht="12" customHeight="1" x14ac:dyDescent="0.25">
      <c r="D10" s="4"/>
      <c r="E10" s="4"/>
      <c r="F10" s="5"/>
      <c r="G10" s="5"/>
      <c r="H10" s="5"/>
      <c r="I10" s="5"/>
      <c r="K10" s="6" t="s">
        <v>1</v>
      </c>
    </row>
    <row r="11" spans="1:81" ht="15" customHeight="1" x14ac:dyDescent="0.25">
      <c r="C11" s="5"/>
      <c r="D11" s="105" t="s">
        <v>2</v>
      </c>
      <c r="E11" s="102" t="s">
        <v>3</v>
      </c>
      <c r="F11" s="102" t="s">
        <v>4</v>
      </c>
      <c r="G11" s="102" t="s">
        <v>5</v>
      </c>
      <c r="H11" s="102" t="s">
        <v>6</v>
      </c>
      <c r="I11" s="102"/>
      <c r="J11" s="102"/>
      <c r="K11" s="103"/>
      <c r="L11" s="59"/>
    </row>
    <row r="12" spans="1:81" ht="15" customHeight="1" x14ac:dyDescent="0.25">
      <c r="C12" s="5"/>
      <c r="D12" s="106"/>
      <c r="E12" s="107"/>
      <c r="F12" s="107"/>
      <c r="G12" s="107"/>
      <c r="H12" s="65" t="s">
        <v>7</v>
      </c>
      <c r="I12" s="65" t="s">
        <v>8</v>
      </c>
      <c r="J12" s="65" t="s">
        <v>9</v>
      </c>
      <c r="K12" s="7" t="s">
        <v>10</v>
      </c>
      <c r="L12" s="59"/>
    </row>
    <row r="13" spans="1:81" ht="12" customHeight="1" x14ac:dyDescent="0.25">
      <c r="D13" s="8">
        <v>0</v>
      </c>
      <c r="E13" s="8">
        <v>1</v>
      </c>
      <c r="F13" s="8">
        <v>2</v>
      </c>
      <c r="G13" s="8">
        <v>3</v>
      </c>
      <c r="H13" s="8">
        <v>4</v>
      </c>
      <c r="I13" s="8">
        <v>5</v>
      </c>
      <c r="J13" s="8">
        <v>6</v>
      </c>
      <c r="K13" s="8">
        <v>7</v>
      </c>
    </row>
    <row r="14" spans="1:81" s="60" customFormat="1" ht="15" customHeight="1" x14ac:dyDescent="0.25">
      <c r="C14" s="9"/>
      <c r="D14" s="99" t="s">
        <v>11</v>
      </c>
      <c r="E14" s="100"/>
      <c r="F14" s="100"/>
      <c r="G14" s="100"/>
      <c r="H14" s="100"/>
      <c r="I14" s="100"/>
      <c r="J14" s="100"/>
      <c r="K14" s="101"/>
      <c r="L14" s="61"/>
    </row>
    <row r="15" spans="1:81" s="60" customFormat="1" ht="15" customHeight="1" x14ac:dyDescent="0.2">
      <c r="C15" s="9"/>
      <c r="D15" s="10" t="s">
        <v>12</v>
      </c>
      <c r="E15" s="11" t="s">
        <v>13</v>
      </c>
      <c r="F15" s="12">
        <v>10</v>
      </c>
      <c r="G15" s="13">
        <f>SUM(H15:K15)</f>
        <v>6698.817</v>
      </c>
      <c r="H15" s="13">
        <f>H16+H17+H21+H24</f>
        <v>1013.9829999999999</v>
      </c>
      <c r="I15" s="13">
        <f>I16+I17+I21+I24</f>
        <v>4961.0879999999997</v>
      </c>
      <c r="J15" s="13">
        <f>J16+J17+J21+J24</f>
        <v>723.74599999999998</v>
      </c>
      <c r="K15" s="13">
        <f>K16+K17+K21+K24</f>
        <v>0</v>
      </c>
      <c r="L15" s="61"/>
      <c r="M15" s="49"/>
      <c r="P15" s="67">
        <v>10</v>
      </c>
    </row>
    <row r="16" spans="1:81" s="60" customFormat="1" ht="15" customHeight="1" x14ac:dyDescent="0.2">
      <c r="C16" s="9"/>
      <c r="D16" s="10" t="s">
        <v>14</v>
      </c>
      <c r="E16" s="14" t="s">
        <v>15</v>
      </c>
      <c r="F16" s="12">
        <v>20</v>
      </c>
      <c r="G16" s="13">
        <f t="shared" ref="G16:G138" si="0">SUM(H16:K16)</f>
        <v>0</v>
      </c>
      <c r="H16" s="15"/>
      <c r="I16" s="15"/>
      <c r="J16" s="15"/>
      <c r="K16" s="15"/>
      <c r="L16" s="61"/>
      <c r="M16" s="49"/>
      <c r="P16" s="67">
        <v>20</v>
      </c>
    </row>
    <row r="17" spans="3:16" s="60" customFormat="1" ht="12.75" x14ac:dyDescent="0.2">
      <c r="C17" s="9"/>
      <c r="D17" s="10" t="s">
        <v>16</v>
      </c>
      <c r="E17" s="14" t="s">
        <v>17</v>
      </c>
      <c r="F17" s="12">
        <v>30</v>
      </c>
      <c r="G17" s="13">
        <f t="shared" si="0"/>
        <v>2.786</v>
      </c>
      <c r="H17" s="13">
        <f>SUM(H18:H20)</f>
        <v>0</v>
      </c>
      <c r="I17" s="13">
        <f>SUM(I18:I20)</f>
        <v>0</v>
      </c>
      <c r="J17" s="13">
        <f>SUM(J18:J20)</f>
        <v>2.786</v>
      </c>
      <c r="K17" s="13">
        <f>SUM(K18:K20)</f>
        <v>0</v>
      </c>
      <c r="L17" s="61"/>
      <c r="M17" s="49"/>
      <c r="P17" s="67">
        <v>30</v>
      </c>
    </row>
    <row r="18" spans="3:16" s="60" customFormat="1" ht="12.75" x14ac:dyDescent="0.2">
      <c r="C18" s="9"/>
      <c r="D18" s="16" t="s">
        <v>18</v>
      </c>
      <c r="E18" s="17"/>
      <c r="F18" s="18" t="s">
        <v>19</v>
      </c>
      <c r="G18" s="19"/>
      <c r="H18" s="19"/>
      <c r="I18" s="19"/>
      <c r="J18" s="19"/>
      <c r="K18" s="19"/>
      <c r="L18" s="61"/>
      <c r="M18" s="49"/>
      <c r="P18" s="67"/>
    </row>
    <row r="19" spans="3:16" s="60" customFormat="1" ht="15" x14ac:dyDescent="0.25">
      <c r="C19" s="24" t="s">
        <v>29</v>
      </c>
      <c r="D19" s="25" t="s">
        <v>336</v>
      </c>
      <c r="E19" s="26" t="s">
        <v>337</v>
      </c>
      <c r="F19" s="27">
        <v>31</v>
      </c>
      <c r="G19" s="28">
        <f>SUM(H19:K19)</f>
        <v>2.786</v>
      </c>
      <c r="H19" s="29"/>
      <c r="I19" s="29"/>
      <c r="J19" s="29">
        <v>2.786</v>
      </c>
      <c r="K19" s="30"/>
      <c r="L19" s="61"/>
      <c r="M19" s="69" t="s">
        <v>338</v>
      </c>
      <c r="N19" s="70" t="s">
        <v>339</v>
      </c>
      <c r="O19" s="70" t="s">
        <v>340</v>
      </c>
    </row>
    <row r="20" spans="3:16" s="60" customFormat="1" ht="12.75" x14ac:dyDescent="0.2">
      <c r="C20" s="9"/>
      <c r="D20" s="20"/>
      <c r="E20" s="21" t="s">
        <v>20</v>
      </c>
      <c r="F20" s="22"/>
      <c r="G20" s="22"/>
      <c r="H20" s="22"/>
      <c r="I20" s="22"/>
      <c r="J20" s="22"/>
      <c r="K20" s="23"/>
      <c r="L20" s="61"/>
      <c r="M20" s="49"/>
      <c r="P20" s="68"/>
    </row>
    <row r="21" spans="3:16" s="60" customFormat="1" ht="12.75" x14ac:dyDescent="0.2">
      <c r="C21" s="9"/>
      <c r="D21" s="10" t="s">
        <v>21</v>
      </c>
      <c r="E21" s="14" t="s">
        <v>22</v>
      </c>
      <c r="F21" s="12" t="s">
        <v>23</v>
      </c>
      <c r="G21" s="13">
        <f t="shared" si="0"/>
        <v>0</v>
      </c>
      <c r="H21" s="13">
        <f>SUM(H22:H23)</f>
        <v>0</v>
      </c>
      <c r="I21" s="13">
        <f>SUM(I22:I23)</f>
        <v>0</v>
      </c>
      <c r="J21" s="13">
        <f>SUM(J22:J23)</f>
        <v>0</v>
      </c>
      <c r="K21" s="13">
        <f>SUM(K22:K23)</f>
        <v>0</v>
      </c>
      <c r="L21" s="61"/>
      <c r="M21" s="49"/>
      <c r="P21" s="68"/>
    </row>
    <row r="22" spans="3:16" s="60" customFormat="1" ht="12.75" x14ac:dyDescent="0.2">
      <c r="C22" s="9"/>
      <c r="D22" s="16" t="s">
        <v>24</v>
      </c>
      <c r="E22" s="17"/>
      <c r="F22" s="18" t="s">
        <v>23</v>
      </c>
      <c r="G22" s="19"/>
      <c r="H22" s="19"/>
      <c r="I22" s="19"/>
      <c r="J22" s="19"/>
      <c r="K22" s="19"/>
      <c r="L22" s="61"/>
      <c r="M22" s="49"/>
      <c r="P22" s="67"/>
    </row>
    <row r="23" spans="3:16" s="60" customFormat="1" ht="12.75" x14ac:dyDescent="0.2">
      <c r="C23" s="9"/>
      <c r="D23" s="20"/>
      <c r="E23" s="21" t="s">
        <v>20</v>
      </c>
      <c r="F23" s="22"/>
      <c r="G23" s="22"/>
      <c r="H23" s="22"/>
      <c r="I23" s="22"/>
      <c r="J23" s="22"/>
      <c r="K23" s="23"/>
      <c r="L23" s="61"/>
      <c r="M23" s="49"/>
      <c r="P23" s="68"/>
    </row>
    <row r="24" spans="3:16" s="60" customFormat="1" ht="12.75" x14ac:dyDescent="0.2">
      <c r="C24" s="9"/>
      <c r="D24" s="10" t="s">
        <v>25</v>
      </c>
      <c r="E24" s="14" t="s">
        <v>26</v>
      </c>
      <c r="F24" s="12" t="s">
        <v>27</v>
      </c>
      <c r="G24" s="13">
        <f t="shared" si="0"/>
        <v>6696.0309999999999</v>
      </c>
      <c r="H24" s="13">
        <f>SUM(H25:H28)</f>
        <v>1013.9829999999999</v>
      </c>
      <c r="I24" s="13">
        <f>SUM(I25:I28)</f>
        <v>4961.0879999999997</v>
      </c>
      <c r="J24" s="13">
        <f>SUM(J25:J28)</f>
        <v>720.96</v>
      </c>
      <c r="K24" s="13">
        <f>SUM(K25:K28)</f>
        <v>0</v>
      </c>
      <c r="L24" s="61"/>
      <c r="M24" s="49"/>
      <c r="P24" s="67">
        <v>40</v>
      </c>
    </row>
    <row r="25" spans="3:16" s="60" customFormat="1" ht="12.75" x14ac:dyDescent="0.2">
      <c r="C25" s="9"/>
      <c r="D25" s="16" t="s">
        <v>28</v>
      </c>
      <c r="E25" s="17"/>
      <c r="F25" s="18" t="s">
        <v>27</v>
      </c>
      <c r="G25" s="19"/>
      <c r="H25" s="19"/>
      <c r="I25" s="19"/>
      <c r="J25" s="19"/>
      <c r="K25" s="19"/>
      <c r="L25" s="61"/>
      <c r="M25" s="49"/>
      <c r="P25" s="67"/>
    </row>
    <row r="26" spans="3:16" s="60" customFormat="1" ht="15" x14ac:dyDescent="0.25">
      <c r="C26" s="24" t="s">
        <v>29</v>
      </c>
      <c r="D26" s="25" t="s">
        <v>30</v>
      </c>
      <c r="E26" s="26" t="s">
        <v>344</v>
      </c>
      <c r="F26" s="27">
        <v>431</v>
      </c>
      <c r="G26" s="28">
        <f>SUM(H26:K26)</f>
        <v>6357.3009999999995</v>
      </c>
      <c r="H26" s="29">
        <v>1013.9829999999999</v>
      </c>
      <c r="I26" s="29">
        <v>4961.0879999999997</v>
      </c>
      <c r="J26" s="29">
        <f>382.23</f>
        <v>382.23</v>
      </c>
      <c r="K26" s="30"/>
      <c r="L26" s="61"/>
      <c r="M26" s="69" t="s">
        <v>327</v>
      </c>
      <c r="N26" s="70" t="s">
        <v>328</v>
      </c>
      <c r="O26" s="70" t="s">
        <v>329</v>
      </c>
    </row>
    <row r="27" spans="3:16" s="60" customFormat="1" ht="15" x14ac:dyDescent="0.25">
      <c r="C27" s="24" t="s">
        <v>29</v>
      </c>
      <c r="D27" s="25" t="s">
        <v>342</v>
      </c>
      <c r="E27" s="26" t="s">
        <v>68</v>
      </c>
      <c r="F27" s="27">
        <v>432</v>
      </c>
      <c r="G27" s="28">
        <f>SUM(H27:K27)</f>
        <v>338.73</v>
      </c>
      <c r="H27" s="29"/>
      <c r="I27" s="29"/>
      <c r="J27" s="29">
        <v>338.73</v>
      </c>
      <c r="K27" s="30"/>
      <c r="L27" s="61"/>
      <c r="M27" s="69" t="s">
        <v>330</v>
      </c>
      <c r="N27" s="70" t="s">
        <v>328</v>
      </c>
      <c r="O27" s="70" t="s">
        <v>332</v>
      </c>
    </row>
    <row r="28" spans="3:16" s="60" customFormat="1" ht="12.75" x14ac:dyDescent="0.2">
      <c r="C28" s="9"/>
      <c r="D28" s="20"/>
      <c r="E28" s="21" t="s">
        <v>20</v>
      </c>
      <c r="F28" s="22"/>
      <c r="G28" s="22"/>
      <c r="H28" s="22"/>
      <c r="I28" s="22"/>
      <c r="J28" s="22"/>
      <c r="K28" s="23"/>
      <c r="L28" s="61"/>
      <c r="M28" s="49"/>
      <c r="P28" s="67"/>
    </row>
    <row r="29" spans="3:16" s="60" customFormat="1" ht="12.75" x14ac:dyDescent="0.2">
      <c r="C29" s="9"/>
      <c r="D29" s="10" t="s">
        <v>31</v>
      </c>
      <c r="E29" s="11" t="s">
        <v>32</v>
      </c>
      <c r="F29" s="12" t="s">
        <v>33</v>
      </c>
      <c r="G29" s="13">
        <f t="shared" si="0"/>
        <v>2693.6459999999993</v>
      </c>
      <c r="H29" s="13">
        <f>H31+H32+H33</f>
        <v>0</v>
      </c>
      <c r="I29" s="13">
        <f>I30+I32+I33</f>
        <v>0</v>
      </c>
      <c r="J29" s="13">
        <f>J30+J31+J33</f>
        <v>1808.1159999999995</v>
      </c>
      <c r="K29" s="13">
        <f>K30+K31+K32</f>
        <v>885.52999999999975</v>
      </c>
      <c r="L29" s="61"/>
      <c r="M29" s="49"/>
      <c r="P29" s="67">
        <v>50</v>
      </c>
    </row>
    <row r="30" spans="3:16" s="60" customFormat="1" ht="12.75" x14ac:dyDescent="0.2">
      <c r="C30" s="9"/>
      <c r="D30" s="10" t="s">
        <v>34</v>
      </c>
      <c r="E30" s="14" t="s">
        <v>7</v>
      </c>
      <c r="F30" s="12" t="s">
        <v>35</v>
      </c>
      <c r="G30" s="13">
        <f t="shared" si="0"/>
        <v>878.14299999999992</v>
      </c>
      <c r="H30" s="31"/>
      <c r="I30" s="15"/>
      <c r="J30" s="15">
        <f>H46</f>
        <v>878.14299999999992</v>
      </c>
      <c r="K30" s="15"/>
      <c r="L30" s="61"/>
      <c r="M30" s="49"/>
      <c r="P30" s="67">
        <v>60</v>
      </c>
    </row>
    <row r="31" spans="3:16" s="60" customFormat="1" ht="12.75" x14ac:dyDescent="0.2">
      <c r="C31" s="9"/>
      <c r="D31" s="10" t="s">
        <v>36</v>
      </c>
      <c r="E31" s="14" t="s">
        <v>8</v>
      </c>
      <c r="F31" s="12" t="s">
        <v>37</v>
      </c>
      <c r="G31" s="13">
        <f t="shared" si="0"/>
        <v>929.97299999999973</v>
      </c>
      <c r="H31" s="15"/>
      <c r="I31" s="31"/>
      <c r="J31" s="15">
        <f>I26-I35-I49</f>
        <v>929.97299999999973</v>
      </c>
      <c r="K31" s="15"/>
      <c r="L31" s="61"/>
      <c r="M31" s="49"/>
      <c r="P31" s="67">
        <v>70</v>
      </c>
    </row>
    <row r="32" spans="3:16" s="60" customFormat="1" ht="12.75" x14ac:dyDescent="0.2">
      <c r="C32" s="9"/>
      <c r="D32" s="10" t="s">
        <v>38</v>
      </c>
      <c r="E32" s="14" t="s">
        <v>9</v>
      </c>
      <c r="F32" s="12" t="s">
        <v>39</v>
      </c>
      <c r="G32" s="13">
        <f t="shared" si="0"/>
        <v>885.52999999999975</v>
      </c>
      <c r="H32" s="15"/>
      <c r="I32" s="15"/>
      <c r="J32" s="31"/>
      <c r="K32" s="15">
        <f>J24+J29+J17-J49-J35</f>
        <v>885.52999999999975</v>
      </c>
      <c r="L32" s="61"/>
      <c r="M32" s="49"/>
      <c r="P32" s="67">
        <v>80</v>
      </c>
    </row>
    <row r="33" spans="3:16" s="60" customFormat="1" ht="12.75" x14ac:dyDescent="0.2">
      <c r="C33" s="9"/>
      <c r="D33" s="10" t="s">
        <v>40</v>
      </c>
      <c r="E33" s="14" t="s">
        <v>41</v>
      </c>
      <c r="F33" s="12" t="s">
        <v>42</v>
      </c>
      <c r="G33" s="13">
        <f t="shared" si="0"/>
        <v>0</v>
      </c>
      <c r="H33" s="15"/>
      <c r="I33" s="15"/>
      <c r="J33" s="15"/>
      <c r="K33" s="31"/>
      <c r="L33" s="61"/>
      <c r="M33" s="49"/>
      <c r="P33" s="67">
        <v>90</v>
      </c>
    </row>
    <row r="34" spans="3:16" s="60" customFormat="1" ht="12.75" x14ac:dyDescent="0.2">
      <c r="C34" s="9"/>
      <c r="D34" s="10" t="s">
        <v>43</v>
      </c>
      <c r="E34" s="32" t="s">
        <v>44</v>
      </c>
      <c r="F34" s="12" t="s">
        <v>45</v>
      </c>
      <c r="G34" s="13">
        <f t="shared" si="0"/>
        <v>0</v>
      </c>
      <c r="H34" s="15"/>
      <c r="I34" s="15"/>
      <c r="J34" s="15"/>
      <c r="K34" s="15"/>
      <c r="L34" s="61"/>
      <c r="M34" s="49"/>
      <c r="P34" s="67"/>
    </row>
    <row r="35" spans="3:16" s="60" customFormat="1" ht="12.75" x14ac:dyDescent="0.2">
      <c r="C35" s="9"/>
      <c r="D35" s="10" t="s">
        <v>46</v>
      </c>
      <c r="E35" s="11" t="s">
        <v>47</v>
      </c>
      <c r="F35" s="33" t="s">
        <v>48</v>
      </c>
      <c r="G35" s="13">
        <f t="shared" si="0"/>
        <v>6509.5219999999999</v>
      </c>
      <c r="H35" s="13">
        <f>H36+H38+H41+H45</f>
        <v>135.84</v>
      </c>
      <c r="I35" s="13">
        <f>I36+I38+I41+I45</f>
        <v>3974.018</v>
      </c>
      <c r="J35" s="13">
        <f>J36+J38+J41+J45</f>
        <v>1564.2739999999999</v>
      </c>
      <c r="K35" s="13">
        <f>K36+K38+K41+K45</f>
        <v>835.39</v>
      </c>
      <c r="L35" s="61"/>
      <c r="M35" s="49"/>
      <c r="P35" s="67">
        <v>100</v>
      </c>
    </row>
    <row r="36" spans="3:16" s="60" customFormat="1" ht="22.5" x14ac:dyDescent="0.2">
      <c r="C36" s="9"/>
      <c r="D36" s="10" t="s">
        <v>49</v>
      </c>
      <c r="E36" s="14" t="s">
        <v>50</v>
      </c>
      <c r="F36" s="12" t="s">
        <v>51</v>
      </c>
      <c r="G36" s="13">
        <f t="shared" si="0"/>
        <v>0</v>
      </c>
      <c r="H36" s="15"/>
      <c r="I36" s="15"/>
      <c r="J36" s="15"/>
      <c r="K36" s="15"/>
      <c r="L36" s="61"/>
      <c r="M36" s="49"/>
      <c r="P36" s="67"/>
    </row>
    <row r="37" spans="3:16" s="60" customFormat="1" ht="12.75" x14ac:dyDescent="0.2">
      <c r="C37" s="9"/>
      <c r="D37" s="10" t="s">
        <v>52</v>
      </c>
      <c r="E37" s="34" t="s">
        <v>53</v>
      </c>
      <c r="F37" s="12" t="s">
        <v>54</v>
      </c>
      <c r="G37" s="13">
        <f t="shared" si="0"/>
        <v>0</v>
      </c>
      <c r="H37" s="15"/>
      <c r="I37" s="15"/>
      <c r="J37" s="15"/>
      <c r="K37" s="15"/>
      <c r="L37" s="61"/>
      <c r="M37" s="49"/>
      <c r="P37" s="67"/>
    </row>
    <row r="38" spans="3:16" s="60" customFormat="1" ht="12.75" x14ac:dyDescent="0.2">
      <c r="C38" s="9"/>
      <c r="D38" s="10" t="s">
        <v>55</v>
      </c>
      <c r="E38" s="14" t="s">
        <v>56</v>
      </c>
      <c r="F38" s="12" t="s">
        <v>57</v>
      </c>
      <c r="G38" s="13">
        <f t="shared" si="0"/>
        <v>3278.8159999999998</v>
      </c>
      <c r="H38" s="15">
        <v>135.84</v>
      </c>
      <c r="I38" s="15">
        <f>3974.018-I43</f>
        <v>743.3119999999999</v>
      </c>
      <c r="J38" s="15">
        <v>1564.2739999999999</v>
      </c>
      <c r="K38" s="15">
        <v>835.39</v>
      </c>
      <c r="L38" s="61"/>
      <c r="M38" s="49"/>
      <c r="P38" s="67"/>
    </row>
    <row r="39" spans="3:16" s="60" customFormat="1" ht="12.75" x14ac:dyDescent="0.2">
      <c r="C39" s="9"/>
      <c r="D39" s="10" t="s">
        <v>58</v>
      </c>
      <c r="E39" s="34" t="s">
        <v>59</v>
      </c>
      <c r="F39" s="12" t="s">
        <v>60</v>
      </c>
      <c r="G39" s="13">
        <f t="shared" si="0"/>
        <v>0</v>
      </c>
      <c r="H39" s="15"/>
      <c r="I39" s="15"/>
      <c r="J39" s="15"/>
      <c r="K39" s="15"/>
      <c r="L39" s="61"/>
      <c r="M39" s="49"/>
      <c r="P39" s="67"/>
    </row>
    <row r="40" spans="3:16" s="60" customFormat="1" ht="12.75" x14ac:dyDescent="0.2">
      <c r="C40" s="9"/>
      <c r="D40" s="10" t="s">
        <v>61</v>
      </c>
      <c r="E40" s="35" t="s">
        <v>53</v>
      </c>
      <c r="F40" s="12" t="s">
        <v>62</v>
      </c>
      <c r="G40" s="13">
        <f t="shared" si="0"/>
        <v>0</v>
      </c>
      <c r="H40" s="15"/>
      <c r="I40" s="15"/>
      <c r="J40" s="15"/>
      <c r="K40" s="15"/>
      <c r="L40" s="61"/>
      <c r="M40" s="49"/>
      <c r="P40" s="67"/>
    </row>
    <row r="41" spans="3:16" s="60" customFormat="1" ht="12.75" x14ac:dyDescent="0.2">
      <c r="C41" s="9"/>
      <c r="D41" s="10" t="s">
        <v>63</v>
      </c>
      <c r="E41" s="14" t="s">
        <v>64</v>
      </c>
      <c r="F41" s="12" t="s">
        <v>65</v>
      </c>
      <c r="G41" s="13">
        <f t="shared" si="0"/>
        <v>3230.7060000000001</v>
      </c>
      <c r="H41" s="13">
        <f>SUM(H42:H44)</f>
        <v>0</v>
      </c>
      <c r="I41" s="13">
        <f>SUM(I42:I44)</f>
        <v>3230.7060000000001</v>
      </c>
      <c r="J41" s="13">
        <f>SUM(J42:J44)</f>
        <v>0</v>
      </c>
      <c r="K41" s="13">
        <f>SUM(K42:K44)</f>
        <v>0</v>
      </c>
      <c r="L41" s="61"/>
      <c r="M41" s="49"/>
      <c r="P41" s="67"/>
    </row>
    <row r="42" spans="3:16" s="60" customFormat="1" ht="12.75" x14ac:dyDescent="0.2">
      <c r="C42" s="9"/>
      <c r="D42" s="16" t="s">
        <v>66</v>
      </c>
      <c r="E42" s="17"/>
      <c r="F42" s="18" t="s">
        <v>65</v>
      </c>
      <c r="G42" s="19"/>
      <c r="H42" s="19"/>
      <c r="I42" s="19"/>
      <c r="J42" s="19"/>
      <c r="K42" s="19"/>
      <c r="L42" s="61"/>
      <c r="M42" s="49"/>
      <c r="P42" s="67"/>
    </row>
    <row r="43" spans="3:16" s="60" customFormat="1" ht="15" x14ac:dyDescent="0.25">
      <c r="C43" s="24" t="s">
        <v>29</v>
      </c>
      <c r="D43" s="25" t="s">
        <v>67</v>
      </c>
      <c r="E43" s="26" t="s">
        <v>68</v>
      </c>
      <c r="F43" s="27">
        <v>751</v>
      </c>
      <c r="G43" s="28">
        <f>SUM(H43:K43)</f>
        <v>3230.7060000000001</v>
      </c>
      <c r="H43" s="29"/>
      <c r="I43" s="29">
        <v>3230.7060000000001</v>
      </c>
      <c r="J43" s="29"/>
      <c r="K43" s="30"/>
      <c r="L43" s="61"/>
      <c r="M43" s="69" t="s">
        <v>330</v>
      </c>
      <c r="N43" s="70" t="s">
        <v>331</v>
      </c>
      <c r="O43" s="70" t="s">
        <v>332</v>
      </c>
    </row>
    <row r="44" spans="3:16" s="60" customFormat="1" ht="12.75" x14ac:dyDescent="0.2">
      <c r="C44" s="9"/>
      <c r="D44" s="36"/>
      <c r="E44" s="21" t="s">
        <v>20</v>
      </c>
      <c r="F44" s="22"/>
      <c r="G44" s="22"/>
      <c r="H44" s="22"/>
      <c r="I44" s="22"/>
      <c r="J44" s="22"/>
      <c r="K44" s="23"/>
      <c r="L44" s="61"/>
      <c r="M44" s="49"/>
      <c r="P44" s="67"/>
    </row>
    <row r="45" spans="3:16" s="60" customFormat="1" ht="12.75" x14ac:dyDescent="0.2">
      <c r="C45" s="9"/>
      <c r="D45" s="10" t="s">
        <v>69</v>
      </c>
      <c r="E45" s="37" t="s">
        <v>70</v>
      </c>
      <c r="F45" s="12" t="s">
        <v>71</v>
      </c>
      <c r="G45" s="13">
        <f t="shared" si="0"/>
        <v>0</v>
      </c>
      <c r="H45" s="15"/>
      <c r="I45" s="15"/>
      <c r="J45" s="15"/>
      <c r="K45" s="15"/>
      <c r="L45" s="61"/>
      <c r="M45" s="49"/>
      <c r="P45" s="67">
        <v>120</v>
      </c>
    </row>
    <row r="46" spans="3:16" s="60" customFormat="1" ht="12.75" x14ac:dyDescent="0.2">
      <c r="C46" s="9"/>
      <c r="D46" s="10" t="s">
        <v>72</v>
      </c>
      <c r="E46" s="11" t="s">
        <v>73</v>
      </c>
      <c r="F46" s="12" t="s">
        <v>74</v>
      </c>
      <c r="G46" s="13">
        <f t="shared" si="0"/>
        <v>2693.6459999999988</v>
      </c>
      <c r="H46" s="15">
        <f>H26-H49-H35</f>
        <v>878.14299999999992</v>
      </c>
      <c r="I46" s="15">
        <f>I15-I35-I49</f>
        <v>929.97299999999973</v>
      </c>
      <c r="J46" s="15">
        <f>J24+J29+J17-J35-J49</f>
        <v>885.52999999999975</v>
      </c>
      <c r="K46" s="15">
        <f>K32-K35-K49</f>
        <v>-2.4158453015843406E-13</v>
      </c>
      <c r="L46" s="61"/>
      <c r="M46" s="49"/>
      <c r="P46" s="67">
        <v>150</v>
      </c>
    </row>
    <row r="47" spans="3:16" s="60" customFormat="1" ht="12.75" x14ac:dyDescent="0.2">
      <c r="C47" s="9"/>
      <c r="D47" s="10" t="s">
        <v>75</v>
      </c>
      <c r="E47" s="11" t="s">
        <v>76</v>
      </c>
      <c r="F47" s="12" t="s">
        <v>77</v>
      </c>
      <c r="G47" s="13">
        <f t="shared" si="0"/>
        <v>0</v>
      </c>
      <c r="H47" s="15"/>
      <c r="I47" s="15"/>
      <c r="J47" s="15"/>
      <c r="K47" s="15"/>
      <c r="L47" s="61"/>
      <c r="M47" s="49"/>
      <c r="P47" s="67">
        <v>160</v>
      </c>
    </row>
    <row r="48" spans="3:16" s="60" customFormat="1" ht="12.75" x14ac:dyDescent="0.2">
      <c r="C48" s="9"/>
      <c r="D48" s="10" t="s">
        <v>78</v>
      </c>
      <c r="E48" s="11" t="s">
        <v>79</v>
      </c>
      <c r="F48" s="12" t="s">
        <v>80</v>
      </c>
      <c r="G48" s="13">
        <f t="shared" si="0"/>
        <v>0</v>
      </c>
      <c r="H48" s="15"/>
      <c r="I48" s="15"/>
      <c r="J48" s="15"/>
      <c r="K48" s="15"/>
      <c r="L48" s="61"/>
      <c r="M48" s="49"/>
      <c r="P48" s="67">
        <v>180</v>
      </c>
    </row>
    <row r="49" spans="3:16" s="60" customFormat="1" ht="12.75" x14ac:dyDescent="0.2">
      <c r="C49" s="9"/>
      <c r="D49" s="10" t="s">
        <v>81</v>
      </c>
      <c r="E49" s="11" t="s">
        <v>82</v>
      </c>
      <c r="F49" s="12" t="s">
        <v>83</v>
      </c>
      <c r="G49" s="13">
        <f t="shared" si="0"/>
        <v>189.29500000000002</v>
      </c>
      <c r="H49" s="15">
        <v>0</v>
      </c>
      <c r="I49" s="15">
        <v>57.097000000000001</v>
      </c>
      <c r="J49" s="15">
        <v>82.058000000000007</v>
      </c>
      <c r="K49" s="15">
        <v>50.14</v>
      </c>
      <c r="L49" s="61"/>
      <c r="M49" s="49"/>
      <c r="P49" s="67">
        <v>190</v>
      </c>
    </row>
    <row r="50" spans="3:16" s="60" customFormat="1" ht="12.75" x14ac:dyDescent="0.2">
      <c r="C50" s="9"/>
      <c r="D50" s="10" t="s">
        <v>84</v>
      </c>
      <c r="E50" s="14" t="s">
        <v>85</v>
      </c>
      <c r="F50" s="12" t="s">
        <v>86</v>
      </c>
      <c r="G50" s="13">
        <f t="shared" si="0"/>
        <v>0</v>
      </c>
      <c r="H50" s="15"/>
      <c r="I50" s="15"/>
      <c r="J50" s="15"/>
      <c r="K50" s="15"/>
      <c r="L50" s="61"/>
      <c r="M50" s="49"/>
      <c r="P50" s="67">
        <v>200</v>
      </c>
    </row>
    <row r="51" spans="3:16" s="60" customFormat="1" ht="22.5" x14ac:dyDescent="0.2">
      <c r="C51" s="9"/>
      <c r="D51" s="10" t="s">
        <v>87</v>
      </c>
      <c r="E51" s="11" t="s">
        <v>88</v>
      </c>
      <c r="F51" s="12" t="s">
        <v>89</v>
      </c>
      <c r="G51" s="13">
        <f t="shared" si="0"/>
        <v>147.62299999999999</v>
      </c>
      <c r="H51" s="15"/>
      <c r="I51" s="15">
        <f>147.623*0.2468</f>
        <v>36.433356399999994</v>
      </c>
      <c r="J51" s="15">
        <f>147.623*0.3291</f>
        <v>48.582729299999997</v>
      </c>
      <c r="K51" s="15">
        <f>147.623*0.4241</f>
        <v>62.606914299999993</v>
      </c>
      <c r="L51" s="61"/>
      <c r="M51" s="49"/>
      <c r="P51" s="68"/>
    </row>
    <row r="52" spans="3:16" s="60" customFormat="1" ht="33.75" x14ac:dyDescent="0.2">
      <c r="C52" s="9"/>
      <c r="D52" s="10" t="s">
        <v>90</v>
      </c>
      <c r="E52" s="32" t="s">
        <v>91</v>
      </c>
      <c r="F52" s="12" t="s">
        <v>92</v>
      </c>
      <c r="G52" s="13">
        <f t="shared" si="0"/>
        <v>41.672000000000025</v>
      </c>
      <c r="H52" s="13">
        <f>H49-H51</f>
        <v>0</v>
      </c>
      <c r="I52" s="13">
        <f>I49-I51</f>
        <v>20.663643600000007</v>
      </c>
      <c r="J52" s="13">
        <f>J49-J51</f>
        <v>33.47527070000001</v>
      </c>
      <c r="K52" s="13">
        <f>K49-K51</f>
        <v>-12.466914299999992</v>
      </c>
      <c r="L52" s="61"/>
      <c r="M52" s="49"/>
      <c r="P52" s="68"/>
    </row>
    <row r="53" spans="3:16" s="60" customFormat="1" ht="12.75" x14ac:dyDescent="0.2">
      <c r="C53" s="9"/>
      <c r="D53" s="10" t="s">
        <v>93</v>
      </c>
      <c r="E53" s="11" t="s">
        <v>94</v>
      </c>
      <c r="F53" s="12" t="s">
        <v>95</v>
      </c>
      <c r="G53" s="13">
        <f t="shared" si="0"/>
        <v>0</v>
      </c>
      <c r="H53" s="13">
        <f>(H15+H29+H34)-(H35+H46+H47+H48+H49)</f>
        <v>0</v>
      </c>
      <c r="I53" s="13">
        <f>(I15+I29+I34)-(I35+I46+I47+I48+I49)</f>
        <v>0</v>
      </c>
      <c r="J53" s="13">
        <f>(J15+J29+J34)-(J35+J46+J47+J48+J49)</f>
        <v>0</v>
      </c>
      <c r="K53" s="13">
        <f>(K15+K29+K34)-(K35+K46+K47+K48+K49)</f>
        <v>0</v>
      </c>
      <c r="L53" s="61"/>
      <c r="M53" s="49"/>
      <c r="P53" s="67">
        <v>210</v>
      </c>
    </row>
    <row r="54" spans="3:16" s="60" customFormat="1" ht="12.75" x14ac:dyDescent="0.2">
      <c r="C54" s="9"/>
      <c r="D54" s="99" t="s">
        <v>96</v>
      </c>
      <c r="E54" s="100"/>
      <c r="F54" s="100"/>
      <c r="G54" s="100"/>
      <c r="H54" s="100"/>
      <c r="I54" s="100"/>
      <c r="J54" s="100"/>
      <c r="K54" s="101"/>
      <c r="L54" s="61"/>
      <c r="M54" s="49"/>
      <c r="P54" s="68"/>
    </row>
    <row r="55" spans="3:16" s="60" customFormat="1" ht="12.75" x14ac:dyDescent="0.2">
      <c r="C55" s="9"/>
      <c r="D55" s="10" t="s">
        <v>97</v>
      </c>
      <c r="E55" s="11" t="s">
        <v>13</v>
      </c>
      <c r="F55" s="12" t="s">
        <v>98</v>
      </c>
      <c r="G55" s="13">
        <f t="shared" si="0"/>
        <v>9.00378629032258</v>
      </c>
      <c r="H55" s="13">
        <f>H56+H57+H61+H64</f>
        <v>1.362880376344086</v>
      </c>
      <c r="I55" s="13">
        <f>I56+I57+I61+I64</f>
        <v>6.6681290322580642</v>
      </c>
      <c r="J55" s="13">
        <f>J56+J57+J61+J64</f>
        <v>0.9727768817204302</v>
      </c>
      <c r="K55" s="13">
        <f>K56+K57+K61+K64</f>
        <v>0</v>
      </c>
      <c r="L55" s="61"/>
      <c r="M55" s="49"/>
      <c r="P55" s="67">
        <v>300</v>
      </c>
    </row>
    <row r="56" spans="3:16" s="60" customFormat="1" ht="12.75" x14ac:dyDescent="0.2">
      <c r="C56" s="9"/>
      <c r="D56" s="10" t="s">
        <v>99</v>
      </c>
      <c r="E56" s="14" t="s">
        <v>15</v>
      </c>
      <c r="F56" s="12" t="s">
        <v>100</v>
      </c>
      <c r="G56" s="13">
        <f t="shared" si="0"/>
        <v>0</v>
      </c>
      <c r="H56" s="15"/>
      <c r="I56" s="15"/>
      <c r="J56" s="15"/>
      <c r="K56" s="15"/>
      <c r="L56" s="61"/>
      <c r="M56" s="49"/>
      <c r="P56" s="67">
        <v>310</v>
      </c>
    </row>
    <row r="57" spans="3:16" s="60" customFormat="1" ht="12.75" x14ac:dyDescent="0.2">
      <c r="C57" s="9"/>
      <c r="D57" s="10" t="s">
        <v>101</v>
      </c>
      <c r="E57" s="14" t="s">
        <v>17</v>
      </c>
      <c r="F57" s="12" t="s">
        <v>102</v>
      </c>
      <c r="G57" s="13">
        <f t="shared" si="0"/>
        <v>3.7446236559139784E-3</v>
      </c>
      <c r="H57" s="13">
        <f>SUM(H58:H60)</f>
        <v>0</v>
      </c>
      <c r="I57" s="13">
        <f>SUM(I58:I60)</f>
        <v>0</v>
      </c>
      <c r="J57" s="13">
        <f>SUM(J58:J60)</f>
        <v>3.7446236559139784E-3</v>
      </c>
      <c r="K57" s="13">
        <f>SUM(K58:K60)</f>
        <v>0</v>
      </c>
      <c r="L57" s="61"/>
      <c r="M57" s="49"/>
      <c r="P57" s="67">
        <v>320</v>
      </c>
    </row>
    <row r="58" spans="3:16" s="60" customFormat="1" ht="12.75" x14ac:dyDescent="0.2">
      <c r="C58" s="9"/>
      <c r="D58" s="16" t="s">
        <v>103</v>
      </c>
      <c r="E58" s="17"/>
      <c r="F58" s="18" t="s">
        <v>102</v>
      </c>
      <c r="G58" s="19"/>
      <c r="H58" s="19"/>
      <c r="I58" s="19"/>
      <c r="J58" s="19"/>
      <c r="K58" s="19"/>
      <c r="L58" s="61"/>
      <c r="M58" s="49"/>
      <c r="P58" s="67"/>
    </row>
    <row r="59" spans="3:16" s="60" customFormat="1" ht="15" x14ac:dyDescent="0.25">
      <c r="C59" s="24" t="s">
        <v>29</v>
      </c>
      <c r="D59" s="25" t="s">
        <v>341</v>
      </c>
      <c r="E59" s="26" t="s">
        <v>337</v>
      </c>
      <c r="F59" s="27">
        <v>1061</v>
      </c>
      <c r="G59" s="28">
        <f>SUM(H59:K59)</f>
        <v>3.7446236559139784E-3</v>
      </c>
      <c r="H59" s="29"/>
      <c r="I59" s="29"/>
      <c r="J59" s="29">
        <f>J19/744</f>
        <v>3.7446236559139784E-3</v>
      </c>
      <c r="K59" s="30"/>
      <c r="L59" s="61"/>
      <c r="M59" s="69" t="s">
        <v>338</v>
      </c>
      <c r="N59" s="70" t="s">
        <v>339</v>
      </c>
      <c r="O59" s="70" t="s">
        <v>340</v>
      </c>
    </row>
    <row r="60" spans="3:16" s="60" customFormat="1" ht="12.75" x14ac:dyDescent="0.2">
      <c r="C60" s="9"/>
      <c r="D60" s="20"/>
      <c r="E60" s="21" t="s">
        <v>20</v>
      </c>
      <c r="F60" s="22"/>
      <c r="G60" s="22"/>
      <c r="H60" s="22"/>
      <c r="I60" s="22"/>
      <c r="J60" s="22"/>
      <c r="K60" s="23"/>
      <c r="L60" s="61"/>
      <c r="M60" s="49"/>
      <c r="P60" s="67"/>
    </row>
    <row r="61" spans="3:16" s="60" customFormat="1" ht="12.75" x14ac:dyDescent="0.2">
      <c r="C61" s="9"/>
      <c r="D61" s="10" t="s">
        <v>104</v>
      </c>
      <c r="E61" s="14" t="s">
        <v>22</v>
      </c>
      <c r="F61" s="12" t="s">
        <v>105</v>
      </c>
      <c r="G61" s="13">
        <f t="shared" si="0"/>
        <v>0</v>
      </c>
      <c r="H61" s="13">
        <f>SUM(H62:H63)</f>
        <v>0</v>
      </c>
      <c r="I61" s="13">
        <f>SUM(I62:I63)</f>
        <v>0</v>
      </c>
      <c r="J61" s="13">
        <f>SUM(J62:J63)</f>
        <v>0</v>
      </c>
      <c r="K61" s="13">
        <f>SUM(K62:K63)</f>
        <v>0</v>
      </c>
      <c r="L61" s="61"/>
      <c r="M61" s="49"/>
      <c r="P61" s="67"/>
    </row>
    <row r="62" spans="3:16" s="60" customFormat="1" ht="12.75" x14ac:dyDescent="0.2">
      <c r="C62" s="9"/>
      <c r="D62" s="16" t="s">
        <v>106</v>
      </c>
      <c r="E62" s="17"/>
      <c r="F62" s="18" t="s">
        <v>105</v>
      </c>
      <c r="G62" s="19"/>
      <c r="H62" s="19"/>
      <c r="I62" s="19"/>
      <c r="J62" s="19"/>
      <c r="K62" s="19"/>
      <c r="L62" s="61"/>
      <c r="M62" s="49"/>
      <c r="P62" s="67"/>
    </row>
    <row r="63" spans="3:16" s="60" customFormat="1" ht="12.75" x14ac:dyDescent="0.2">
      <c r="C63" s="9"/>
      <c r="D63" s="20"/>
      <c r="E63" s="21" t="s">
        <v>20</v>
      </c>
      <c r="F63" s="22"/>
      <c r="G63" s="22"/>
      <c r="H63" s="22"/>
      <c r="I63" s="22"/>
      <c r="J63" s="22"/>
      <c r="K63" s="23"/>
      <c r="L63" s="61"/>
      <c r="M63" s="49"/>
      <c r="P63" s="67"/>
    </row>
    <row r="64" spans="3:16" s="60" customFormat="1" ht="12.75" x14ac:dyDescent="0.2">
      <c r="C64" s="9"/>
      <c r="D64" s="10" t="s">
        <v>107</v>
      </c>
      <c r="E64" s="14" t="s">
        <v>26</v>
      </c>
      <c r="F64" s="12" t="s">
        <v>108</v>
      </c>
      <c r="G64" s="13">
        <f t="shared" si="0"/>
        <v>9.0000416666666663</v>
      </c>
      <c r="H64" s="13">
        <f>SUM(H65:H68)</f>
        <v>1.362880376344086</v>
      </c>
      <c r="I64" s="13">
        <f>SUM(I65:I68)</f>
        <v>6.6681290322580642</v>
      </c>
      <c r="J64" s="13">
        <f>SUM(J65:J68)</f>
        <v>0.96903225806451621</v>
      </c>
      <c r="K64" s="13">
        <f>SUM(K65:K68)</f>
        <v>0</v>
      </c>
      <c r="L64" s="61"/>
      <c r="M64" s="49"/>
      <c r="P64" s="67">
        <v>330</v>
      </c>
    </row>
    <row r="65" spans="3:16" s="60" customFormat="1" ht="12.75" x14ac:dyDescent="0.2">
      <c r="C65" s="9"/>
      <c r="D65" s="16" t="s">
        <v>109</v>
      </c>
      <c r="E65" s="17"/>
      <c r="F65" s="18" t="s">
        <v>108</v>
      </c>
      <c r="G65" s="19"/>
      <c r="H65" s="19"/>
      <c r="I65" s="19"/>
      <c r="J65" s="19"/>
      <c r="K65" s="19"/>
      <c r="L65" s="61"/>
      <c r="M65" s="49"/>
      <c r="P65" s="67"/>
    </row>
    <row r="66" spans="3:16" s="60" customFormat="1" ht="15" x14ac:dyDescent="0.25">
      <c r="C66" s="24" t="s">
        <v>29</v>
      </c>
      <c r="D66" s="25" t="s">
        <v>110</v>
      </c>
      <c r="E66" s="26" t="s">
        <v>344</v>
      </c>
      <c r="F66" s="27">
        <v>1461</v>
      </c>
      <c r="G66" s="28">
        <f>SUM(H66:K66)</f>
        <v>8.5447594086021503</v>
      </c>
      <c r="H66" s="29">
        <f>H26/744</f>
        <v>1.362880376344086</v>
      </c>
      <c r="I66" s="29">
        <f>I26/744</f>
        <v>6.6681290322580642</v>
      </c>
      <c r="J66" s="29">
        <f>J26/744</f>
        <v>0.51375000000000004</v>
      </c>
      <c r="K66" s="29"/>
      <c r="L66" s="61"/>
      <c r="M66" s="69" t="s">
        <v>327</v>
      </c>
      <c r="N66" s="70" t="s">
        <v>328</v>
      </c>
      <c r="O66" s="70" t="s">
        <v>329</v>
      </c>
    </row>
    <row r="67" spans="3:16" s="60" customFormat="1" ht="15" x14ac:dyDescent="0.25">
      <c r="C67" s="24" t="s">
        <v>29</v>
      </c>
      <c r="D67" s="25" t="s">
        <v>343</v>
      </c>
      <c r="E67" s="26" t="s">
        <v>68</v>
      </c>
      <c r="F67" s="27">
        <v>1462</v>
      </c>
      <c r="G67" s="28">
        <f>SUM(H67:K67)</f>
        <v>0.45528225806451617</v>
      </c>
      <c r="H67" s="29"/>
      <c r="I67" s="29"/>
      <c r="J67" s="29">
        <f>J27/744</f>
        <v>0.45528225806451617</v>
      </c>
      <c r="K67" s="30"/>
      <c r="L67" s="61"/>
      <c r="M67" s="69" t="s">
        <v>330</v>
      </c>
      <c r="N67" s="70" t="s">
        <v>328</v>
      </c>
      <c r="O67" s="70" t="s">
        <v>332</v>
      </c>
    </row>
    <row r="68" spans="3:16" s="60" customFormat="1" ht="12.75" x14ac:dyDescent="0.2">
      <c r="C68" s="9"/>
      <c r="D68" s="20"/>
      <c r="E68" s="21" t="s">
        <v>20</v>
      </c>
      <c r="F68" s="22"/>
      <c r="G68" s="22"/>
      <c r="H68" s="22"/>
      <c r="I68" s="22"/>
      <c r="J68" s="22"/>
      <c r="K68" s="23"/>
      <c r="L68" s="61"/>
      <c r="M68" s="49"/>
      <c r="P68" s="67"/>
    </row>
    <row r="69" spans="3:16" s="60" customFormat="1" ht="12.75" x14ac:dyDescent="0.2">
      <c r="C69" s="9"/>
      <c r="D69" s="10" t="s">
        <v>111</v>
      </c>
      <c r="E69" s="11" t="s">
        <v>32</v>
      </c>
      <c r="F69" s="12" t="s">
        <v>112</v>
      </c>
      <c r="G69" s="13">
        <f t="shared" si="0"/>
        <v>3.6204919354838703</v>
      </c>
      <c r="H69" s="13">
        <f>H71+H72+H73</f>
        <v>0</v>
      </c>
      <c r="I69" s="13">
        <f>I70+I72+I73</f>
        <v>0</v>
      </c>
      <c r="J69" s="13">
        <f>J70+J71+J73</f>
        <v>2.4302634408602146</v>
      </c>
      <c r="K69" s="13">
        <f>K70+K71+K72</f>
        <v>1.1902284946236557</v>
      </c>
      <c r="L69" s="61"/>
      <c r="M69" s="49"/>
      <c r="P69" s="67">
        <v>340</v>
      </c>
    </row>
    <row r="70" spans="3:16" s="60" customFormat="1" ht="12.75" x14ac:dyDescent="0.2">
      <c r="C70" s="9"/>
      <c r="D70" s="10" t="s">
        <v>113</v>
      </c>
      <c r="E70" s="14" t="s">
        <v>7</v>
      </c>
      <c r="F70" s="12" t="s">
        <v>114</v>
      </c>
      <c r="G70" s="13">
        <f t="shared" si="0"/>
        <v>1.1802997311827956</v>
      </c>
      <c r="H70" s="31"/>
      <c r="I70" s="15"/>
      <c r="J70" s="15">
        <f>J30/744</f>
        <v>1.1802997311827956</v>
      </c>
      <c r="K70" s="15"/>
      <c r="L70" s="61"/>
      <c r="M70" s="49"/>
      <c r="P70" s="67">
        <v>350</v>
      </c>
    </row>
    <row r="71" spans="3:16" s="60" customFormat="1" ht="12.75" x14ac:dyDescent="0.2">
      <c r="C71" s="9"/>
      <c r="D71" s="10" t="s">
        <v>115</v>
      </c>
      <c r="E71" s="14" t="s">
        <v>8</v>
      </c>
      <c r="F71" s="12" t="s">
        <v>116</v>
      </c>
      <c r="G71" s="13">
        <f t="shared" si="0"/>
        <v>1.249963709677419</v>
      </c>
      <c r="H71" s="15"/>
      <c r="I71" s="38"/>
      <c r="J71" s="15">
        <f>J31/744</f>
        <v>1.249963709677419</v>
      </c>
      <c r="K71" s="15"/>
      <c r="L71" s="61"/>
      <c r="M71" s="49"/>
      <c r="P71" s="67">
        <v>360</v>
      </c>
    </row>
    <row r="72" spans="3:16" s="60" customFormat="1" ht="12.75" x14ac:dyDescent="0.2">
      <c r="C72" s="9"/>
      <c r="D72" s="10" t="s">
        <v>117</v>
      </c>
      <c r="E72" s="14" t="s">
        <v>9</v>
      </c>
      <c r="F72" s="12" t="s">
        <v>118</v>
      </c>
      <c r="G72" s="13">
        <f t="shared" si="0"/>
        <v>1.1902284946236557</v>
      </c>
      <c r="H72" s="15"/>
      <c r="I72" s="15"/>
      <c r="J72" s="31"/>
      <c r="K72" s="15">
        <f>K32/744</f>
        <v>1.1902284946236557</v>
      </c>
      <c r="L72" s="61"/>
      <c r="M72" s="49"/>
      <c r="P72" s="67">
        <v>370</v>
      </c>
    </row>
    <row r="73" spans="3:16" s="60" customFormat="1" ht="12.75" x14ac:dyDescent="0.2">
      <c r="C73" s="9"/>
      <c r="D73" s="10" t="s">
        <v>119</v>
      </c>
      <c r="E73" s="14" t="s">
        <v>41</v>
      </c>
      <c r="F73" s="12" t="s">
        <v>120</v>
      </c>
      <c r="G73" s="13">
        <f t="shared" si="0"/>
        <v>0</v>
      </c>
      <c r="H73" s="15"/>
      <c r="I73" s="15"/>
      <c r="J73" s="15"/>
      <c r="K73" s="31"/>
      <c r="L73" s="61"/>
      <c r="M73" s="49"/>
      <c r="P73" s="67">
        <v>380</v>
      </c>
    </row>
    <row r="74" spans="3:16" s="60" customFormat="1" ht="12.75" x14ac:dyDescent="0.2">
      <c r="C74" s="9"/>
      <c r="D74" s="10" t="s">
        <v>121</v>
      </c>
      <c r="E74" s="32" t="s">
        <v>44</v>
      </c>
      <c r="F74" s="12" t="s">
        <v>122</v>
      </c>
      <c r="G74" s="13">
        <f t="shared" si="0"/>
        <v>0</v>
      </c>
      <c r="H74" s="15"/>
      <c r="I74" s="15"/>
      <c r="J74" s="15"/>
      <c r="K74" s="15"/>
      <c r="L74" s="61"/>
      <c r="M74" s="49"/>
      <c r="P74" s="67"/>
    </row>
    <row r="75" spans="3:16" s="60" customFormat="1" ht="12.75" x14ac:dyDescent="0.2">
      <c r="C75" s="9"/>
      <c r="D75" s="10" t="s">
        <v>123</v>
      </c>
      <c r="E75" s="11" t="s">
        <v>47</v>
      </c>
      <c r="F75" s="33" t="s">
        <v>124</v>
      </c>
      <c r="G75" s="13">
        <f t="shared" si="0"/>
        <v>8.7493575268817203</v>
      </c>
      <c r="H75" s="13">
        <f>H76+H78+H81+H85</f>
        <v>0.18258064516129033</v>
      </c>
      <c r="I75" s="13">
        <f>I76+I78+I81+I85</f>
        <v>5.3414220430107529</v>
      </c>
      <c r="J75" s="13">
        <f>J76+J78+J81+J85</f>
        <v>2.102518817204301</v>
      </c>
      <c r="K75" s="13">
        <f>K76+K78+K81+K85</f>
        <v>1.1228360215053763</v>
      </c>
      <c r="L75" s="61"/>
      <c r="M75" s="49"/>
      <c r="P75" s="67">
        <v>390</v>
      </c>
    </row>
    <row r="76" spans="3:16" s="60" customFormat="1" ht="22.5" x14ac:dyDescent="0.2">
      <c r="C76" s="9"/>
      <c r="D76" s="10" t="s">
        <v>125</v>
      </c>
      <c r="E76" s="14" t="s">
        <v>50</v>
      </c>
      <c r="F76" s="12" t="s">
        <v>126</v>
      </c>
      <c r="G76" s="13">
        <f t="shared" si="0"/>
        <v>0</v>
      </c>
      <c r="H76" s="15"/>
      <c r="I76" s="15"/>
      <c r="J76" s="15"/>
      <c r="K76" s="15"/>
      <c r="L76" s="61"/>
      <c r="M76" s="49"/>
      <c r="P76" s="67"/>
    </row>
    <row r="77" spans="3:16" s="60" customFormat="1" ht="12.75" x14ac:dyDescent="0.2">
      <c r="C77" s="9"/>
      <c r="D77" s="10" t="s">
        <v>127</v>
      </c>
      <c r="E77" s="34" t="s">
        <v>53</v>
      </c>
      <c r="F77" s="12" t="s">
        <v>128</v>
      </c>
      <c r="G77" s="13">
        <f t="shared" si="0"/>
        <v>0</v>
      </c>
      <c r="H77" s="15"/>
      <c r="I77" s="15"/>
      <c r="J77" s="15"/>
      <c r="K77" s="15"/>
      <c r="L77" s="61"/>
      <c r="M77" s="49"/>
      <c r="P77" s="67"/>
    </row>
    <row r="78" spans="3:16" s="60" customFormat="1" ht="12.75" x14ac:dyDescent="0.2">
      <c r="C78" s="9"/>
      <c r="D78" s="10" t="s">
        <v>129</v>
      </c>
      <c r="E78" s="14" t="s">
        <v>56</v>
      </c>
      <c r="F78" s="12" t="s">
        <v>130</v>
      </c>
      <c r="G78" s="13">
        <f t="shared" si="0"/>
        <v>4.4070107526881719</v>
      </c>
      <c r="H78" s="15">
        <f>H38/744</f>
        <v>0.18258064516129033</v>
      </c>
      <c r="I78" s="15">
        <f>I38/744</f>
        <v>0.99907526881720421</v>
      </c>
      <c r="J78" s="15">
        <f>J38/744</f>
        <v>2.102518817204301</v>
      </c>
      <c r="K78" s="15">
        <f>K38/744</f>
        <v>1.1228360215053763</v>
      </c>
      <c r="L78" s="61"/>
      <c r="M78" s="49"/>
      <c r="P78" s="67"/>
    </row>
    <row r="79" spans="3:16" s="60" customFormat="1" ht="12.75" x14ac:dyDescent="0.2">
      <c r="C79" s="9"/>
      <c r="D79" s="10" t="s">
        <v>131</v>
      </c>
      <c r="E79" s="34" t="s">
        <v>59</v>
      </c>
      <c r="F79" s="12" t="s">
        <v>132</v>
      </c>
      <c r="G79" s="13">
        <f t="shared" si="0"/>
        <v>0</v>
      </c>
      <c r="H79" s="15"/>
      <c r="I79" s="15"/>
      <c r="J79" s="15"/>
      <c r="K79" s="15"/>
      <c r="L79" s="61"/>
      <c r="M79" s="49"/>
      <c r="P79" s="67"/>
    </row>
    <row r="80" spans="3:16" s="60" customFormat="1" ht="12.75" x14ac:dyDescent="0.2">
      <c r="C80" s="9"/>
      <c r="D80" s="10" t="s">
        <v>133</v>
      </c>
      <c r="E80" s="35" t="s">
        <v>53</v>
      </c>
      <c r="F80" s="12" t="s">
        <v>134</v>
      </c>
      <c r="G80" s="13">
        <f t="shared" si="0"/>
        <v>0</v>
      </c>
      <c r="H80" s="15"/>
      <c r="I80" s="15"/>
      <c r="J80" s="15"/>
      <c r="K80" s="15"/>
      <c r="L80" s="61"/>
      <c r="M80" s="49"/>
      <c r="P80" s="67"/>
    </row>
    <row r="81" spans="3:16" s="60" customFormat="1" ht="12.75" x14ac:dyDescent="0.2">
      <c r="C81" s="9"/>
      <c r="D81" s="10" t="s">
        <v>135</v>
      </c>
      <c r="E81" s="14" t="s">
        <v>64</v>
      </c>
      <c r="F81" s="12" t="s">
        <v>136</v>
      </c>
      <c r="G81" s="13">
        <f t="shared" si="0"/>
        <v>4.3423467741935484</v>
      </c>
      <c r="H81" s="13">
        <f>SUM(H82:H84)</f>
        <v>0</v>
      </c>
      <c r="I81" s="13">
        <f>SUM(I82:I84)</f>
        <v>4.3423467741935484</v>
      </c>
      <c r="J81" s="13">
        <f>SUM(J82:J84)</f>
        <v>0</v>
      </c>
      <c r="K81" s="13">
        <f>SUM(K82:K84)</f>
        <v>0</v>
      </c>
      <c r="L81" s="61"/>
      <c r="M81" s="49"/>
      <c r="P81" s="67"/>
    </row>
    <row r="82" spans="3:16" s="60" customFormat="1" ht="12.75" x14ac:dyDescent="0.2">
      <c r="C82" s="9"/>
      <c r="D82" s="16" t="s">
        <v>137</v>
      </c>
      <c r="E82" s="17"/>
      <c r="F82" s="18" t="s">
        <v>136</v>
      </c>
      <c r="G82" s="19"/>
      <c r="H82" s="19"/>
      <c r="I82" s="19"/>
      <c r="J82" s="19"/>
      <c r="K82" s="19"/>
      <c r="L82" s="61"/>
      <c r="M82" s="49"/>
      <c r="P82" s="67"/>
    </row>
    <row r="83" spans="3:16" s="60" customFormat="1" ht="15" x14ac:dyDescent="0.25">
      <c r="C83" s="24" t="s">
        <v>29</v>
      </c>
      <c r="D83" s="25" t="s">
        <v>138</v>
      </c>
      <c r="E83" s="26" t="s">
        <v>68</v>
      </c>
      <c r="F83" s="27">
        <v>1781</v>
      </c>
      <c r="G83" s="28">
        <f>SUM(H83:K83)</f>
        <v>4.3423467741935484</v>
      </c>
      <c r="H83" s="29"/>
      <c r="I83" s="29">
        <f>I43/744</f>
        <v>4.3423467741935484</v>
      </c>
      <c r="J83" s="29"/>
      <c r="K83" s="30"/>
      <c r="L83" s="61"/>
      <c r="M83" s="69" t="s">
        <v>330</v>
      </c>
      <c r="N83" s="70" t="s">
        <v>331</v>
      </c>
      <c r="O83" s="70" t="s">
        <v>332</v>
      </c>
    </row>
    <row r="84" spans="3:16" s="60" customFormat="1" ht="12.75" x14ac:dyDescent="0.2">
      <c r="C84" s="9"/>
      <c r="D84" s="20"/>
      <c r="E84" s="21" t="s">
        <v>20</v>
      </c>
      <c r="F84" s="22"/>
      <c r="G84" s="22"/>
      <c r="H84" s="22"/>
      <c r="I84" s="22"/>
      <c r="J84" s="22"/>
      <c r="K84" s="23"/>
      <c r="L84" s="61"/>
      <c r="M84" s="49"/>
      <c r="P84" s="67"/>
    </row>
    <row r="85" spans="3:16" s="60" customFormat="1" ht="12.75" x14ac:dyDescent="0.2">
      <c r="C85" s="9"/>
      <c r="D85" s="10" t="s">
        <v>139</v>
      </c>
      <c r="E85" s="37" t="s">
        <v>70</v>
      </c>
      <c r="F85" s="12" t="s">
        <v>140</v>
      </c>
      <c r="G85" s="13">
        <f t="shared" si="0"/>
        <v>0</v>
      </c>
      <c r="H85" s="15"/>
      <c r="I85" s="15"/>
      <c r="J85" s="15"/>
      <c r="K85" s="15"/>
      <c r="L85" s="61"/>
      <c r="M85" s="49"/>
      <c r="P85" s="67">
        <v>410</v>
      </c>
    </row>
    <row r="86" spans="3:16" s="60" customFormat="1" ht="12.75" x14ac:dyDescent="0.2">
      <c r="C86" s="9"/>
      <c r="D86" s="10" t="s">
        <v>141</v>
      </c>
      <c r="E86" s="11" t="s">
        <v>73</v>
      </c>
      <c r="F86" s="12" t="s">
        <v>142</v>
      </c>
      <c r="G86" s="13">
        <f t="shared" si="0"/>
        <v>3.6204919354838698</v>
      </c>
      <c r="H86" s="15">
        <f>H46/744</f>
        <v>1.1802997311827956</v>
      </c>
      <c r="I86" s="15">
        <f>I46/744</f>
        <v>1.249963709677419</v>
      </c>
      <c r="J86" s="15">
        <f>J46/744</f>
        <v>1.1902284946236557</v>
      </c>
      <c r="K86" s="15">
        <f>K46/744</f>
        <v>-3.2471038999789525E-16</v>
      </c>
      <c r="L86" s="61"/>
      <c r="M86" s="49"/>
      <c r="P86" s="67">
        <v>440</v>
      </c>
    </row>
    <row r="87" spans="3:16" s="60" customFormat="1" ht="12.75" x14ac:dyDescent="0.2">
      <c r="C87" s="9"/>
      <c r="D87" s="10" t="s">
        <v>143</v>
      </c>
      <c r="E87" s="11" t="s">
        <v>76</v>
      </c>
      <c r="F87" s="12" t="s">
        <v>144</v>
      </c>
      <c r="G87" s="13">
        <f t="shared" si="0"/>
        <v>0</v>
      </c>
      <c r="H87" s="15"/>
      <c r="I87" s="15"/>
      <c r="J87" s="15"/>
      <c r="K87" s="15"/>
      <c r="L87" s="61"/>
      <c r="M87" s="49"/>
      <c r="P87" s="67">
        <v>450</v>
      </c>
    </row>
    <row r="88" spans="3:16" s="60" customFormat="1" ht="12.75" x14ac:dyDescent="0.2">
      <c r="C88" s="9"/>
      <c r="D88" s="10" t="s">
        <v>145</v>
      </c>
      <c r="E88" s="11" t="s">
        <v>79</v>
      </c>
      <c r="F88" s="12" t="s">
        <v>146</v>
      </c>
      <c r="G88" s="13">
        <f t="shared" si="0"/>
        <v>0</v>
      </c>
      <c r="H88" s="15"/>
      <c r="I88" s="15"/>
      <c r="J88" s="15"/>
      <c r="K88" s="15"/>
      <c r="L88" s="61"/>
      <c r="M88" s="49"/>
      <c r="P88" s="67">
        <v>470</v>
      </c>
    </row>
    <row r="89" spans="3:16" s="60" customFormat="1" ht="12.75" x14ac:dyDescent="0.2">
      <c r="C89" s="9"/>
      <c r="D89" s="10" t="s">
        <v>147</v>
      </c>
      <c r="E89" s="11" t="s">
        <v>82</v>
      </c>
      <c r="F89" s="12" t="s">
        <v>148</v>
      </c>
      <c r="G89" s="13">
        <f t="shared" si="0"/>
        <v>0.25442876344086024</v>
      </c>
      <c r="H89" s="15">
        <f>H49/744</f>
        <v>0</v>
      </c>
      <c r="I89" s="15">
        <f>I49/744</f>
        <v>7.6743279569892478E-2</v>
      </c>
      <c r="J89" s="15">
        <f>J49/744</f>
        <v>0.11029301075268819</v>
      </c>
      <c r="K89" s="15">
        <f>K49/744</f>
        <v>6.7392473118279575E-2</v>
      </c>
      <c r="L89" s="61"/>
      <c r="M89" s="49"/>
      <c r="P89" s="67">
        <v>480</v>
      </c>
    </row>
    <row r="90" spans="3:16" s="60" customFormat="1" ht="12.75" x14ac:dyDescent="0.2">
      <c r="C90" s="9"/>
      <c r="D90" s="10" t="s">
        <v>149</v>
      </c>
      <c r="E90" s="14" t="s">
        <v>150</v>
      </c>
      <c r="F90" s="12" t="s">
        <v>151</v>
      </c>
      <c r="G90" s="13">
        <f t="shared" si="0"/>
        <v>0</v>
      </c>
      <c r="H90" s="15"/>
      <c r="I90" s="15"/>
      <c r="J90" s="15"/>
      <c r="K90" s="15"/>
      <c r="L90" s="61"/>
      <c r="M90" s="49"/>
      <c r="P90" s="67">
        <v>490</v>
      </c>
    </row>
    <row r="91" spans="3:16" s="60" customFormat="1" ht="22.5" x14ac:dyDescent="0.2">
      <c r="C91" s="9"/>
      <c r="D91" s="10" t="s">
        <v>152</v>
      </c>
      <c r="E91" s="11" t="s">
        <v>88</v>
      </c>
      <c r="F91" s="12" t="s">
        <v>153</v>
      </c>
      <c r="G91" s="13">
        <f t="shared" si="0"/>
        <v>0.19841801075268814</v>
      </c>
      <c r="H91" s="15"/>
      <c r="I91" s="15">
        <f>I51/744</f>
        <v>4.8969565053763431E-2</v>
      </c>
      <c r="J91" s="15">
        <f>J51/744</f>
        <v>6.5299367338709668E-2</v>
      </c>
      <c r="K91" s="15">
        <f>K51/744</f>
        <v>8.4149078360215041E-2</v>
      </c>
      <c r="L91" s="61"/>
      <c r="M91" s="49"/>
      <c r="P91" s="67"/>
    </row>
    <row r="92" spans="3:16" s="60" customFormat="1" ht="33.75" x14ac:dyDescent="0.2">
      <c r="C92" s="9"/>
      <c r="D92" s="10" t="s">
        <v>154</v>
      </c>
      <c r="E92" s="32" t="s">
        <v>91</v>
      </c>
      <c r="F92" s="12" t="s">
        <v>155</v>
      </c>
      <c r="G92" s="13">
        <f t="shared" si="0"/>
        <v>5.60107526881721E-2</v>
      </c>
      <c r="H92" s="13">
        <f>H89-H91</f>
        <v>0</v>
      </c>
      <c r="I92" s="13">
        <f>I89-I91</f>
        <v>2.7773714516129047E-2</v>
      </c>
      <c r="J92" s="13">
        <f>J89-J91</f>
        <v>4.4993643413978518E-2</v>
      </c>
      <c r="K92" s="13">
        <f>K89-K91</f>
        <v>-1.6756605241935466E-2</v>
      </c>
      <c r="L92" s="61"/>
      <c r="M92" s="49"/>
      <c r="P92" s="67"/>
    </row>
    <row r="93" spans="3:16" s="60" customFormat="1" ht="12.75" x14ac:dyDescent="0.2">
      <c r="C93" s="9"/>
      <c r="D93" s="10" t="s">
        <v>156</v>
      </c>
      <c r="E93" s="11" t="s">
        <v>94</v>
      </c>
      <c r="F93" s="12" t="s">
        <v>157</v>
      </c>
      <c r="G93" s="13">
        <f t="shared" si="0"/>
        <v>0</v>
      </c>
      <c r="H93" s="13">
        <f>(H55+H69+H74)-(H75+H86+H87+H88+H89)</f>
        <v>0</v>
      </c>
      <c r="I93" s="13">
        <f>(I55+I69+I74)-(I75+I86+I87+I88+I89)</f>
        <v>0</v>
      </c>
      <c r="J93" s="13">
        <f>(J55+J69+J74)-(J75+J86+J87+J88+J89)</f>
        <v>0</v>
      </c>
      <c r="K93" s="13">
        <f>(K55+K69+K74)-(K75+K86+K87+K88+K89)</f>
        <v>0</v>
      </c>
      <c r="L93" s="61"/>
      <c r="M93" s="49"/>
      <c r="P93" s="67">
        <v>500</v>
      </c>
    </row>
    <row r="94" spans="3:16" s="60" customFormat="1" ht="12.75" x14ac:dyDescent="0.2">
      <c r="C94" s="9"/>
      <c r="D94" s="99" t="s">
        <v>158</v>
      </c>
      <c r="E94" s="100"/>
      <c r="F94" s="100"/>
      <c r="G94" s="100"/>
      <c r="H94" s="100"/>
      <c r="I94" s="100"/>
      <c r="J94" s="100"/>
      <c r="K94" s="101"/>
      <c r="L94" s="61"/>
      <c r="M94" s="49"/>
      <c r="P94" s="68"/>
    </row>
    <row r="95" spans="3:16" s="60" customFormat="1" ht="12.75" x14ac:dyDescent="0.2">
      <c r="C95" s="9"/>
      <c r="D95" s="10" t="s">
        <v>159</v>
      </c>
      <c r="E95" s="11" t="s">
        <v>160</v>
      </c>
      <c r="F95" s="12" t="s">
        <v>161</v>
      </c>
      <c r="G95" s="13">
        <f t="shared" si="0"/>
        <v>0</v>
      </c>
      <c r="H95" s="15"/>
      <c r="I95" s="15"/>
      <c r="J95" s="15"/>
      <c r="K95" s="15"/>
      <c r="L95" s="61"/>
      <c r="M95" s="49"/>
      <c r="P95" s="67">
        <v>600</v>
      </c>
    </row>
    <row r="96" spans="3:16" s="60" customFormat="1" ht="12.75" x14ac:dyDescent="0.2">
      <c r="C96" s="9"/>
      <c r="D96" s="10" t="s">
        <v>162</v>
      </c>
      <c r="E96" s="11" t="s">
        <v>163</v>
      </c>
      <c r="F96" s="12" t="s">
        <v>164</v>
      </c>
      <c r="G96" s="13">
        <f t="shared" si="0"/>
        <v>39.573</v>
      </c>
      <c r="H96" s="15"/>
      <c r="I96" s="15">
        <v>39.573</v>
      </c>
      <c r="J96" s="15"/>
      <c r="K96" s="15"/>
      <c r="L96" s="61"/>
      <c r="M96" s="49"/>
      <c r="P96" s="67">
        <v>610</v>
      </c>
    </row>
    <row r="97" spans="3:16" s="60" customFormat="1" ht="12.75" x14ac:dyDescent="0.2">
      <c r="C97" s="9"/>
      <c r="D97" s="10" t="s">
        <v>165</v>
      </c>
      <c r="E97" s="11" t="s">
        <v>166</v>
      </c>
      <c r="F97" s="12" t="s">
        <v>167</v>
      </c>
      <c r="G97" s="13">
        <f t="shared" si="0"/>
        <v>0</v>
      </c>
      <c r="H97" s="15"/>
      <c r="I97" s="15"/>
      <c r="J97" s="15"/>
      <c r="K97" s="15"/>
      <c r="L97" s="61"/>
      <c r="M97" s="49"/>
      <c r="P97" s="67">
        <v>620</v>
      </c>
    </row>
    <row r="98" spans="3:16" s="60" customFormat="1" ht="12.75" x14ac:dyDescent="0.2">
      <c r="C98" s="9"/>
      <c r="D98" s="99" t="s">
        <v>168</v>
      </c>
      <c r="E98" s="100"/>
      <c r="F98" s="100"/>
      <c r="G98" s="100"/>
      <c r="H98" s="100"/>
      <c r="I98" s="100"/>
      <c r="J98" s="100"/>
      <c r="K98" s="101"/>
      <c r="L98" s="61"/>
      <c r="M98" s="49"/>
      <c r="P98" s="68"/>
    </row>
    <row r="99" spans="3:16" s="60" customFormat="1" ht="12.75" x14ac:dyDescent="0.2">
      <c r="C99" s="9"/>
      <c r="D99" s="10" t="s">
        <v>169</v>
      </c>
      <c r="E99" s="11" t="s">
        <v>170</v>
      </c>
      <c r="F99" s="12" t="s">
        <v>171</v>
      </c>
      <c r="G99" s="13">
        <f t="shared" si="0"/>
        <v>0</v>
      </c>
      <c r="H99" s="13">
        <f>SUM(H100:H101)</f>
        <v>0</v>
      </c>
      <c r="I99" s="13">
        <f>SUM(I100:I101)</f>
        <v>0</v>
      </c>
      <c r="J99" s="13">
        <f>SUM(J100:J101)</f>
        <v>0</v>
      </c>
      <c r="K99" s="13">
        <f>SUM(K100:K101)</f>
        <v>0</v>
      </c>
      <c r="L99" s="61"/>
      <c r="M99" s="49"/>
      <c r="P99" s="67">
        <v>700</v>
      </c>
    </row>
    <row r="100" spans="3:16" ht="12.75" x14ac:dyDescent="0.2">
      <c r="C100" s="5"/>
      <c r="D100" s="39" t="s">
        <v>172</v>
      </c>
      <c r="E100" s="14" t="s">
        <v>173</v>
      </c>
      <c r="F100" s="12" t="s">
        <v>174</v>
      </c>
      <c r="G100" s="13">
        <f t="shared" si="0"/>
        <v>0</v>
      </c>
      <c r="H100" s="40"/>
      <c r="I100" s="40"/>
      <c r="J100" s="40"/>
      <c r="K100" s="40"/>
      <c r="L100" s="59"/>
      <c r="M100" s="49"/>
      <c r="P100" s="67">
        <v>710</v>
      </c>
    </row>
    <row r="101" spans="3:16" ht="12.75" x14ac:dyDescent="0.2">
      <c r="C101" s="5"/>
      <c r="D101" s="39" t="s">
        <v>175</v>
      </c>
      <c r="E101" s="14" t="s">
        <v>176</v>
      </c>
      <c r="F101" s="12" t="s">
        <v>177</v>
      </c>
      <c r="G101" s="13">
        <f t="shared" si="0"/>
        <v>0</v>
      </c>
      <c r="H101" s="41">
        <f>H104</f>
        <v>0</v>
      </c>
      <c r="I101" s="41">
        <f>I104</f>
        <v>0</v>
      </c>
      <c r="J101" s="41">
        <f>J104</f>
        <v>0</v>
      </c>
      <c r="K101" s="41">
        <f>K104</f>
        <v>0</v>
      </c>
      <c r="L101" s="59"/>
      <c r="M101" s="49"/>
      <c r="P101" s="67">
        <v>720</v>
      </c>
    </row>
    <row r="102" spans="3:16" ht="12.75" x14ac:dyDescent="0.2">
      <c r="C102" s="5"/>
      <c r="D102" s="39" t="s">
        <v>178</v>
      </c>
      <c r="E102" s="34" t="s">
        <v>179</v>
      </c>
      <c r="F102" s="12" t="s">
        <v>180</v>
      </c>
      <c r="G102" s="13">
        <f t="shared" si="0"/>
        <v>0</v>
      </c>
      <c r="H102" s="40"/>
      <c r="I102" s="40"/>
      <c r="J102" s="40"/>
      <c r="K102" s="40"/>
      <c r="L102" s="59"/>
      <c r="M102" s="49"/>
      <c r="P102" s="67">
        <v>730</v>
      </c>
    </row>
    <row r="103" spans="3:16" ht="12.75" x14ac:dyDescent="0.2">
      <c r="C103" s="5"/>
      <c r="D103" s="39" t="s">
        <v>181</v>
      </c>
      <c r="E103" s="35" t="s">
        <v>182</v>
      </c>
      <c r="F103" s="12" t="s">
        <v>183</v>
      </c>
      <c r="G103" s="13">
        <f t="shared" si="0"/>
        <v>0</v>
      </c>
      <c r="H103" s="40"/>
      <c r="I103" s="40"/>
      <c r="J103" s="40"/>
      <c r="K103" s="40"/>
      <c r="L103" s="59"/>
      <c r="M103" s="49"/>
      <c r="P103" s="67"/>
    </row>
    <row r="104" spans="3:16" ht="12.75" x14ac:dyDescent="0.2">
      <c r="C104" s="5"/>
      <c r="D104" s="39" t="s">
        <v>184</v>
      </c>
      <c r="E104" s="34" t="s">
        <v>185</v>
      </c>
      <c r="F104" s="12" t="s">
        <v>186</v>
      </c>
      <c r="G104" s="13">
        <f t="shared" si="0"/>
        <v>0</v>
      </c>
      <c r="H104" s="40"/>
      <c r="I104" s="40"/>
      <c r="J104" s="40"/>
      <c r="K104" s="40"/>
      <c r="L104" s="59"/>
      <c r="M104" s="49"/>
      <c r="P104" s="67">
        <v>740</v>
      </c>
    </row>
    <row r="105" spans="3:16" ht="12.75" x14ac:dyDescent="0.2">
      <c r="C105" s="5"/>
      <c r="D105" s="39" t="s">
        <v>187</v>
      </c>
      <c r="E105" s="11" t="s">
        <v>188</v>
      </c>
      <c r="F105" s="12" t="s">
        <v>189</v>
      </c>
      <c r="G105" s="13">
        <f t="shared" si="0"/>
        <v>0</v>
      </c>
      <c r="H105" s="41">
        <f>H106+H122</f>
        <v>0</v>
      </c>
      <c r="I105" s="41">
        <f>I106+I122</f>
        <v>0</v>
      </c>
      <c r="J105" s="41">
        <f>J106+J122</f>
        <v>0</v>
      </c>
      <c r="K105" s="41">
        <f>K106+K122</f>
        <v>0</v>
      </c>
      <c r="L105" s="59"/>
      <c r="M105" s="49"/>
      <c r="P105" s="67">
        <v>750</v>
      </c>
    </row>
    <row r="106" spans="3:16" ht="12.75" x14ac:dyDescent="0.2">
      <c r="C106" s="5"/>
      <c r="D106" s="39" t="s">
        <v>190</v>
      </c>
      <c r="E106" s="14" t="s">
        <v>191</v>
      </c>
      <c r="F106" s="12" t="s">
        <v>192</v>
      </c>
      <c r="G106" s="13">
        <f t="shared" si="0"/>
        <v>0</v>
      </c>
      <c r="H106" s="41">
        <f>H107+H108</f>
        <v>0</v>
      </c>
      <c r="I106" s="41">
        <f>I107+I108</f>
        <v>0</v>
      </c>
      <c r="J106" s="41">
        <f>J107+J108</f>
        <v>0</v>
      </c>
      <c r="K106" s="41">
        <f>K107+K108</f>
        <v>0</v>
      </c>
      <c r="L106" s="59"/>
      <c r="M106" s="49"/>
      <c r="P106" s="67">
        <v>760</v>
      </c>
    </row>
    <row r="107" spans="3:16" ht="12.75" x14ac:dyDescent="0.2">
      <c r="C107" s="5"/>
      <c r="D107" s="39" t="s">
        <v>193</v>
      </c>
      <c r="E107" s="34" t="s">
        <v>194</v>
      </c>
      <c r="F107" s="12" t="s">
        <v>195</v>
      </c>
      <c r="G107" s="13">
        <f t="shared" si="0"/>
        <v>0</v>
      </c>
      <c r="H107" s="40"/>
      <c r="I107" s="40"/>
      <c r="J107" s="40"/>
      <c r="K107" s="40"/>
      <c r="L107" s="59"/>
      <c r="M107" s="49"/>
      <c r="P107" s="67"/>
    </row>
    <row r="108" spans="3:16" ht="12.75" x14ac:dyDescent="0.2">
      <c r="C108" s="5"/>
      <c r="D108" s="39" t="s">
        <v>196</v>
      </c>
      <c r="E108" s="34" t="s">
        <v>197</v>
      </c>
      <c r="F108" s="12" t="s">
        <v>198</v>
      </c>
      <c r="G108" s="13">
        <f t="shared" si="0"/>
        <v>0</v>
      </c>
      <c r="H108" s="41">
        <f>H109+H112+H115+H118+H119+H120+H121</f>
        <v>0</v>
      </c>
      <c r="I108" s="41">
        <f>I109+I112+I115+I118+I119+I120+I121</f>
        <v>0</v>
      </c>
      <c r="J108" s="41">
        <f>J109+J112+J115+J118+J119+J120+J121</f>
        <v>0</v>
      </c>
      <c r="K108" s="41">
        <f>K109+K112+K115+K118+K119+K120+K121</f>
        <v>0</v>
      </c>
      <c r="L108" s="59"/>
      <c r="M108" s="49"/>
      <c r="P108" s="67"/>
    </row>
    <row r="109" spans="3:16" ht="45" x14ac:dyDescent="0.2">
      <c r="C109" s="5"/>
      <c r="D109" s="39" t="s">
        <v>199</v>
      </c>
      <c r="E109" s="35" t="s">
        <v>200</v>
      </c>
      <c r="F109" s="12" t="s">
        <v>201</v>
      </c>
      <c r="G109" s="13">
        <f t="shared" si="0"/>
        <v>0</v>
      </c>
      <c r="H109" s="42">
        <f>H110+H111</f>
        <v>0</v>
      </c>
      <c r="I109" s="42">
        <f>I110+I111</f>
        <v>0</v>
      </c>
      <c r="J109" s="42">
        <f>J110+J111</f>
        <v>0</v>
      </c>
      <c r="K109" s="42">
        <f>K110+K111</f>
        <v>0</v>
      </c>
      <c r="L109" s="59"/>
      <c r="M109" s="49"/>
      <c r="P109" s="67"/>
    </row>
    <row r="110" spans="3:16" ht="12.75" x14ac:dyDescent="0.2">
      <c r="C110" s="5"/>
      <c r="D110" s="39" t="s">
        <v>202</v>
      </c>
      <c r="E110" s="43" t="s">
        <v>203</v>
      </c>
      <c r="F110" s="12" t="s">
        <v>204</v>
      </c>
      <c r="G110" s="13">
        <f t="shared" si="0"/>
        <v>0</v>
      </c>
      <c r="H110" s="40"/>
      <c r="I110" s="40"/>
      <c r="J110" s="40"/>
      <c r="K110" s="40"/>
      <c r="L110" s="59"/>
      <c r="M110" s="49"/>
      <c r="P110" s="67"/>
    </row>
    <row r="111" spans="3:16" ht="12.75" x14ac:dyDescent="0.2">
      <c r="C111" s="5"/>
      <c r="D111" s="39" t="s">
        <v>205</v>
      </c>
      <c r="E111" s="43" t="s">
        <v>206</v>
      </c>
      <c r="F111" s="12" t="s">
        <v>207</v>
      </c>
      <c r="G111" s="13">
        <f t="shared" si="0"/>
        <v>0</v>
      </c>
      <c r="H111" s="40"/>
      <c r="I111" s="40"/>
      <c r="J111" s="40"/>
      <c r="K111" s="40"/>
      <c r="L111" s="59"/>
      <c r="M111" s="49"/>
      <c r="P111" s="67"/>
    </row>
    <row r="112" spans="3:16" ht="45" x14ac:dyDescent="0.2">
      <c r="C112" s="5"/>
      <c r="D112" s="39" t="s">
        <v>208</v>
      </c>
      <c r="E112" s="35" t="s">
        <v>209</v>
      </c>
      <c r="F112" s="12" t="s">
        <v>210</v>
      </c>
      <c r="G112" s="13">
        <f t="shared" si="0"/>
        <v>0</v>
      </c>
      <c r="H112" s="42">
        <f>H113+H114</f>
        <v>0</v>
      </c>
      <c r="I112" s="42">
        <f>I113+I114</f>
        <v>0</v>
      </c>
      <c r="J112" s="42">
        <f>J113+J114</f>
        <v>0</v>
      </c>
      <c r="K112" s="42">
        <f>K113+K114</f>
        <v>0</v>
      </c>
      <c r="L112" s="59"/>
      <c r="M112" s="49"/>
      <c r="P112" s="67"/>
    </row>
    <row r="113" spans="3:16" ht="12.75" x14ac:dyDescent="0.2">
      <c r="C113" s="5"/>
      <c r="D113" s="39" t="s">
        <v>211</v>
      </c>
      <c r="E113" s="43" t="s">
        <v>203</v>
      </c>
      <c r="F113" s="12" t="s">
        <v>212</v>
      </c>
      <c r="G113" s="13">
        <f t="shared" si="0"/>
        <v>0</v>
      </c>
      <c r="H113" s="40"/>
      <c r="I113" s="40"/>
      <c r="J113" s="40"/>
      <c r="K113" s="40"/>
      <c r="L113" s="59"/>
      <c r="M113" s="49"/>
      <c r="P113" s="67"/>
    </row>
    <row r="114" spans="3:16" ht="12.75" x14ac:dyDescent="0.2">
      <c r="C114" s="5"/>
      <c r="D114" s="39" t="s">
        <v>213</v>
      </c>
      <c r="E114" s="43" t="s">
        <v>206</v>
      </c>
      <c r="F114" s="12" t="s">
        <v>214</v>
      </c>
      <c r="G114" s="13">
        <f t="shared" si="0"/>
        <v>0</v>
      </c>
      <c r="H114" s="40"/>
      <c r="I114" s="40"/>
      <c r="J114" s="40"/>
      <c r="K114" s="40"/>
      <c r="L114" s="59"/>
      <c r="M114" s="49"/>
      <c r="P114" s="67"/>
    </row>
    <row r="115" spans="3:16" ht="22.5" x14ac:dyDescent="0.2">
      <c r="C115" s="5"/>
      <c r="D115" s="39" t="s">
        <v>215</v>
      </c>
      <c r="E115" s="35" t="s">
        <v>216</v>
      </c>
      <c r="F115" s="12" t="s">
        <v>217</v>
      </c>
      <c r="G115" s="13">
        <f t="shared" si="0"/>
        <v>0</v>
      </c>
      <c r="H115" s="42">
        <f>H116+H117</f>
        <v>0</v>
      </c>
      <c r="I115" s="42">
        <f>I116+I117</f>
        <v>0</v>
      </c>
      <c r="J115" s="42">
        <f>J116+J117</f>
        <v>0</v>
      </c>
      <c r="K115" s="42">
        <f>K116+K117</f>
        <v>0</v>
      </c>
      <c r="L115" s="59"/>
      <c r="M115" s="49"/>
      <c r="P115" s="67"/>
    </row>
    <row r="116" spans="3:16" ht="12.75" x14ac:dyDescent="0.2">
      <c r="C116" s="5"/>
      <c r="D116" s="39" t="s">
        <v>218</v>
      </c>
      <c r="E116" s="43" t="s">
        <v>203</v>
      </c>
      <c r="F116" s="12" t="s">
        <v>219</v>
      </c>
      <c r="G116" s="13">
        <f t="shared" si="0"/>
        <v>0</v>
      </c>
      <c r="H116" s="40"/>
      <c r="I116" s="40"/>
      <c r="J116" s="40"/>
      <c r="K116" s="40"/>
      <c r="L116" s="59"/>
      <c r="M116" s="49"/>
      <c r="P116" s="67"/>
    </row>
    <row r="117" spans="3:16" ht="12.75" x14ac:dyDescent="0.2">
      <c r="C117" s="5"/>
      <c r="D117" s="39" t="s">
        <v>220</v>
      </c>
      <c r="E117" s="43" t="s">
        <v>206</v>
      </c>
      <c r="F117" s="12" t="s">
        <v>221</v>
      </c>
      <c r="G117" s="13">
        <f t="shared" si="0"/>
        <v>0</v>
      </c>
      <c r="H117" s="40"/>
      <c r="I117" s="40"/>
      <c r="J117" s="40"/>
      <c r="K117" s="40"/>
      <c r="L117" s="59"/>
      <c r="M117" s="49"/>
      <c r="P117" s="67"/>
    </row>
    <row r="118" spans="3:16" ht="22.5" x14ac:dyDescent="0.2">
      <c r="C118" s="5"/>
      <c r="D118" s="39" t="s">
        <v>222</v>
      </c>
      <c r="E118" s="35" t="s">
        <v>223</v>
      </c>
      <c r="F118" s="12" t="s">
        <v>224</v>
      </c>
      <c r="G118" s="13">
        <f t="shared" si="0"/>
        <v>0</v>
      </c>
      <c r="H118" s="40"/>
      <c r="I118" s="40"/>
      <c r="J118" s="40"/>
      <c r="K118" s="40"/>
      <c r="L118" s="59"/>
      <c r="M118" s="49"/>
      <c r="P118" s="67"/>
    </row>
    <row r="119" spans="3:16" ht="12.75" x14ac:dyDescent="0.2">
      <c r="C119" s="5"/>
      <c r="D119" s="39" t="s">
        <v>225</v>
      </c>
      <c r="E119" s="35" t="s">
        <v>226</v>
      </c>
      <c r="F119" s="12" t="s">
        <v>227</v>
      </c>
      <c r="G119" s="13">
        <f t="shared" si="0"/>
        <v>0</v>
      </c>
      <c r="H119" s="40"/>
      <c r="I119" s="40"/>
      <c r="J119" s="40"/>
      <c r="K119" s="40"/>
      <c r="L119" s="59"/>
      <c r="M119" s="49"/>
      <c r="P119" s="67"/>
    </row>
    <row r="120" spans="3:16" ht="45" x14ac:dyDescent="0.2">
      <c r="C120" s="5"/>
      <c r="D120" s="39" t="s">
        <v>228</v>
      </c>
      <c r="E120" s="35" t="s">
        <v>229</v>
      </c>
      <c r="F120" s="12" t="s">
        <v>230</v>
      </c>
      <c r="G120" s="13">
        <f t="shared" si="0"/>
        <v>0</v>
      </c>
      <c r="H120" s="40"/>
      <c r="I120" s="40"/>
      <c r="J120" s="40"/>
      <c r="K120" s="40"/>
      <c r="L120" s="59"/>
      <c r="M120" s="49"/>
      <c r="P120" s="67"/>
    </row>
    <row r="121" spans="3:16" ht="22.5" x14ac:dyDescent="0.2">
      <c r="C121" s="5"/>
      <c r="D121" s="39" t="s">
        <v>231</v>
      </c>
      <c r="E121" s="35" t="s">
        <v>232</v>
      </c>
      <c r="F121" s="12" t="s">
        <v>233</v>
      </c>
      <c r="G121" s="13">
        <f t="shared" si="0"/>
        <v>0</v>
      </c>
      <c r="H121" s="40"/>
      <c r="I121" s="40"/>
      <c r="J121" s="40"/>
      <c r="K121" s="40"/>
      <c r="L121" s="59"/>
      <c r="M121" s="49"/>
      <c r="P121" s="67"/>
    </row>
    <row r="122" spans="3:16" ht="12.75" x14ac:dyDescent="0.2">
      <c r="C122" s="5"/>
      <c r="D122" s="39" t="s">
        <v>234</v>
      </c>
      <c r="E122" s="14" t="s">
        <v>235</v>
      </c>
      <c r="F122" s="12" t="s">
        <v>236</v>
      </c>
      <c r="G122" s="13">
        <f t="shared" si="0"/>
        <v>0</v>
      </c>
      <c r="H122" s="41">
        <f>H125</f>
        <v>0</v>
      </c>
      <c r="I122" s="41">
        <f>I125</f>
        <v>0</v>
      </c>
      <c r="J122" s="41">
        <f>J125</f>
        <v>0</v>
      </c>
      <c r="K122" s="41">
        <f>K125</f>
        <v>0</v>
      </c>
      <c r="L122" s="59"/>
      <c r="M122" s="49"/>
      <c r="P122" s="67">
        <v>770</v>
      </c>
    </row>
    <row r="123" spans="3:16" ht="12.75" x14ac:dyDescent="0.2">
      <c r="C123" s="5"/>
      <c r="D123" s="39" t="s">
        <v>237</v>
      </c>
      <c r="E123" s="34" t="s">
        <v>179</v>
      </c>
      <c r="F123" s="12" t="s">
        <v>238</v>
      </c>
      <c r="G123" s="13">
        <f t="shared" si="0"/>
        <v>0</v>
      </c>
      <c r="H123" s="40"/>
      <c r="I123" s="40"/>
      <c r="J123" s="40"/>
      <c r="K123" s="40"/>
      <c r="L123" s="59"/>
      <c r="M123" s="49"/>
      <c r="P123" s="67">
        <v>780</v>
      </c>
    </row>
    <row r="124" spans="3:16" ht="12.75" x14ac:dyDescent="0.2">
      <c r="C124" s="5"/>
      <c r="D124" s="39" t="s">
        <v>239</v>
      </c>
      <c r="E124" s="35" t="s">
        <v>240</v>
      </c>
      <c r="F124" s="12" t="s">
        <v>241</v>
      </c>
      <c r="G124" s="13">
        <f t="shared" si="0"/>
        <v>0</v>
      </c>
      <c r="H124" s="40"/>
      <c r="I124" s="40"/>
      <c r="J124" s="40"/>
      <c r="K124" s="40"/>
      <c r="L124" s="59"/>
      <c r="M124" s="49"/>
      <c r="P124" s="67"/>
    </row>
    <row r="125" spans="3:16" ht="12.75" x14ac:dyDescent="0.2">
      <c r="C125" s="5"/>
      <c r="D125" s="39" t="s">
        <v>242</v>
      </c>
      <c r="E125" s="34" t="s">
        <v>185</v>
      </c>
      <c r="F125" s="12" t="s">
        <v>243</v>
      </c>
      <c r="G125" s="13">
        <f t="shared" si="0"/>
        <v>0</v>
      </c>
      <c r="H125" s="40"/>
      <c r="I125" s="40"/>
      <c r="J125" s="40"/>
      <c r="K125" s="40"/>
      <c r="L125" s="59"/>
      <c r="M125" s="49"/>
      <c r="P125" s="67">
        <v>790</v>
      </c>
    </row>
    <row r="126" spans="3:16" ht="22.5" x14ac:dyDescent="0.2">
      <c r="C126" s="5"/>
      <c r="D126" s="39" t="s">
        <v>244</v>
      </c>
      <c r="E126" s="32" t="s">
        <v>245</v>
      </c>
      <c r="F126" s="12" t="s">
        <v>246</v>
      </c>
      <c r="G126" s="13">
        <f t="shared" si="0"/>
        <v>6698.817</v>
      </c>
      <c r="H126" s="41">
        <f>SUM(H127:H128)</f>
        <v>135.84</v>
      </c>
      <c r="I126" s="41">
        <f>SUM(I127:I128)</f>
        <v>4129.6059999999998</v>
      </c>
      <c r="J126" s="41">
        <f>SUM(J127:J128)</f>
        <v>1597.981</v>
      </c>
      <c r="K126" s="41">
        <f>SUM(K127:K128)</f>
        <v>835.39</v>
      </c>
      <c r="L126" s="59"/>
      <c r="M126" s="49"/>
      <c r="P126" s="67"/>
    </row>
    <row r="127" spans="3:16" ht="12.75" x14ac:dyDescent="0.2">
      <c r="C127" s="5"/>
      <c r="D127" s="39" t="s">
        <v>247</v>
      </c>
      <c r="E127" s="14" t="s">
        <v>173</v>
      </c>
      <c r="F127" s="12" t="s">
        <v>248</v>
      </c>
      <c r="G127" s="13">
        <f t="shared" si="0"/>
        <v>0</v>
      </c>
      <c r="H127" s="40"/>
      <c r="I127" s="40"/>
      <c r="J127" s="40"/>
      <c r="K127" s="40"/>
      <c r="L127" s="59"/>
      <c r="M127" s="49"/>
      <c r="P127" s="67"/>
    </row>
    <row r="128" spans="3:16" ht="12.75" x14ac:dyDescent="0.2">
      <c r="C128" s="5"/>
      <c r="D128" s="39" t="s">
        <v>249</v>
      </c>
      <c r="E128" s="14" t="s">
        <v>176</v>
      </c>
      <c r="F128" s="12" t="s">
        <v>250</v>
      </c>
      <c r="G128" s="13">
        <f t="shared" si="0"/>
        <v>6698.817</v>
      </c>
      <c r="H128" s="41">
        <f>H130</f>
        <v>135.84</v>
      </c>
      <c r="I128" s="41">
        <f>I130</f>
        <v>4129.6059999999998</v>
      </c>
      <c r="J128" s="41">
        <f>J130</f>
        <v>1597.981</v>
      </c>
      <c r="K128" s="41">
        <f>K130</f>
        <v>835.39</v>
      </c>
      <c r="L128" s="59"/>
      <c r="M128" s="49"/>
      <c r="P128" s="67"/>
    </row>
    <row r="129" spans="3:16" ht="12.75" x14ac:dyDescent="0.2">
      <c r="C129" s="5"/>
      <c r="D129" s="39" t="s">
        <v>251</v>
      </c>
      <c r="E129" s="34" t="s">
        <v>252</v>
      </c>
      <c r="F129" s="12" t="s">
        <v>253</v>
      </c>
      <c r="G129" s="13">
        <f t="shared" si="0"/>
        <v>44.622999999999998</v>
      </c>
      <c r="H129" s="40"/>
      <c r="I129" s="40">
        <v>44.622999999999998</v>
      </c>
      <c r="J129" s="40"/>
      <c r="K129" s="40"/>
      <c r="L129" s="59"/>
      <c r="M129" s="49"/>
      <c r="P129" s="67"/>
    </row>
    <row r="130" spans="3:16" ht="12.75" x14ac:dyDescent="0.2">
      <c r="C130" s="5"/>
      <c r="D130" s="39" t="s">
        <v>254</v>
      </c>
      <c r="E130" s="34" t="s">
        <v>185</v>
      </c>
      <c r="F130" s="12" t="s">
        <v>255</v>
      </c>
      <c r="G130" s="13">
        <f t="shared" si="0"/>
        <v>6698.817</v>
      </c>
      <c r="H130" s="40">
        <f>H49+H35</f>
        <v>135.84</v>
      </c>
      <c r="I130" s="40">
        <f>I35+155.588</f>
        <v>4129.6059999999998</v>
      </c>
      <c r="J130" s="40">
        <f>J35+30.611+3.096</f>
        <v>1597.981</v>
      </c>
      <c r="K130" s="40">
        <f>K35</f>
        <v>835.39</v>
      </c>
      <c r="L130" s="59"/>
      <c r="M130" s="49"/>
      <c r="P130" s="67"/>
    </row>
    <row r="131" spans="3:16" ht="12.75" x14ac:dyDescent="0.2">
      <c r="C131" s="5"/>
      <c r="D131" s="99" t="s">
        <v>256</v>
      </c>
      <c r="E131" s="100"/>
      <c r="F131" s="100"/>
      <c r="G131" s="100"/>
      <c r="H131" s="100"/>
      <c r="I131" s="100"/>
      <c r="J131" s="100"/>
      <c r="K131" s="101"/>
      <c r="L131" s="59"/>
      <c r="M131" s="49"/>
      <c r="P131" s="71"/>
    </row>
    <row r="132" spans="3:16" ht="22.5" x14ac:dyDescent="0.2">
      <c r="C132" s="5"/>
      <c r="D132" s="39" t="s">
        <v>257</v>
      </c>
      <c r="E132" s="11" t="s">
        <v>258</v>
      </c>
      <c r="F132" s="12" t="s">
        <v>259</v>
      </c>
      <c r="G132" s="13">
        <f t="shared" si="0"/>
        <v>0</v>
      </c>
      <c r="H132" s="41">
        <f>SUM( H133:H134)</f>
        <v>0</v>
      </c>
      <c r="I132" s="41">
        <f>SUM( I133:I134)</f>
        <v>0</v>
      </c>
      <c r="J132" s="41">
        <f>SUM( J133:J134)</f>
        <v>0</v>
      </c>
      <c r="K132" s="41">
        <f>SUM( K133:K134)</f>
        <v>0</v>
      </c>
      <c r="L132" s="59"/>
      <c r="M132" s="49"/>
      <c r="P132" s="67">
        <v>800</v>
      </c>
    </row>
    <row r="133" spans="3:16" ht="12.75" x14ac:dyDescent="0.2">
      <c r="C133" s="5"/>
      <c r="D133" s="39" t="s">
        <v>260</v>
      </c>
      <c r="E133" s="14" t="s">
        <v>173</v>
      </c>
      <c r="F133" s="12" t="s">
        <v>261</v>
      </c>
      <c r="G133" s="13">
        <f t="shared" si="0"/>
        <v>0</v>
      </c>
      <c r="H133" s="40"/>
      <c r="I133" s="40"/>
      <c r="J133" s="40"/>
      <c r="K133" s="40"/>
      <c r="L133" s="59"/>
      <c r="M133" s="49"/>
      <c r="P133" s="67">
        <v>810</v>
      </c>
    </row>
    <row r="134" spans="3:16" ht="12.75" x14ac:dyDescent="0.2">
      <c r="C134" s="5"/>
      <c r="D134" s="39" t="s">
        <v>262</v>
      </c>
      <c r="E134" s="14" t="s">
        <v>176</v>
      </c>
      <c r="F134" s="12" t="s">
        <v>263</v>
      </c>
      <c r="G134" s="13">
        <f t="shared" si="0"/>
        <v>0</v>
      </c>
      <c r="H134" s="41">
        <f>H135+H137</f>
        <v>0</v>
      </c>
      <c r="I134" s="41">
        <f>I135+I137</f>
        <v>0</v>
      </c>
      <c r="J134" s="41">
        <f>J135+J137</f>
        <v>0</v>
      </c>
      <c r="K134" s="41">
        <f>K135+K137</f>
        <v>0</v>
      </c>
      <c r="L134" s="59"/>
      <c r="M134" s="49"/>
      <c r="P134" s="67">
        <v>820</v>
      </c>
    </row>
    <row r="135" spans="3:16" ht="12.75" x14ac:dyDescent="0.2">
      <c r="C135" s="5"/>
      <c r="D135" s="39" t="s">
        <v>264</v>
      </c>
      <c r="E135" s="34" t="s">
        <v>265</v>
      </c>
      <c r="F135" s="12" t="s">
        <v>266</v>
      </c>
      <c r="G135" s="13">
        <f t="shared" si="0"/>
        <v>0</v>
      </c>
      <c r="H135" s="40"/>
      <c r="I135" s="40"/>
      <c r="J135" s="40"/>
      <c r="K135" s="40"/>
      <c r="L135" s="59"/>
      <c r="M135" s="49"/>
      <c r="P135" s="67">
        <v>830</v>
      </c>
    </row>
    <row r="136" spans="3:16" ht="12.75" x14ac:dyDescent="0.2">
      <c r="C136" s="5"/>
      <c r="D136" s="39" t="s">
        <v>267</v>
      </c>
      <c r="E136" s="35" t="s">
        <v>268</v>
      </c>
      <c r="F136" s="12" t="s">
        <v>269</v>
      </c>
      <c r="G136" s="13">
        <f t="shared" si="0"/>
        <v>0</v>
      </c>
      <c r="H136" s="40"/>
      <c r="I136" s="40"/>
      <c r="J136" s="40"/>
      <c r="K136" s="40"/>
      <c r="L136" s="59"/>
      <c r="M136" s="49"/>
      <c r="P136" s="71"/>
    </row>
    <row r="137" spans="3:16" ht="12.75" x14ac:dyDescent="0.2">
      <c r="C137" s="5"/>
      <c r="D137" s="39" t="s">
        <v>270</v>
      </c>
      <c r="E137" s="34" t="s">
        <v>271</v>
      </c>
      <c r="F137" s="12" t="s">
        <v>272</v>
      </c>
      <c r="G137" s="13">
        <f t="shared" si="0"/>
        <v>0</v>
      </c>
      <c r="H137" s="40"/>
      <c r="I137" s="40"/>
      <c r="J137" s="40"/>
      <c r="K137" s="40"/>
      <c r="L137" s="59"/>
      <c r="M137" s="49"/>
      <c r="P137" s="67">
        <v>840</v>
      </c>
    </row>
    <row r="138" spans="3:16" ht="12.75" x14ac:dyDescent="0.2">
      <c r="C138" s="5"/>
      <c r="D138" s="39" t="s">
        <v>19</v>
      </c>
      <c r="E138" s="11" t="s">
        <v>273</v>
      </c>
      <c r="F138" s="12" t="s">
        <v>274</v>
      </c>
      <c r="G138" s="13">
        <f t="shared" si="0"/>
        <v>0</v>
      </c>
      <c r="H138" s="42">
        <f>SUM( H139+H144)</f>
        <v>0</v>
      </c>
      <c r="I138" s="42">
        <f>SUM( I139+I144)</f>
        <v>0</v>
      </c>
      <c r="J138" s="42">
        <f>SUM( J139+J144)</f>
        <v>0</v>
      </c>
      <c r="K138" s="42">
        <f>SUM( K139+K144)</f>
        <v>0</v>
      </c>
      <c r="L138" s="62"/>
      <c r="M138" s="49"/>
      <c r="P138" s="67">
        <v>850</v>
      </c>
    </row>
    <row r="139" spans="3:16" ht="12.75" x14ac:dyDescent="0.2">
      <c r="C139" s="5"/>
      <c r="D139" s="39" t="s">
        <v>275</v>
      </c>
      <c r="E139" s="14" t="s">
        <v>173</v>
      </c>
      <c r="F139" s="12" t="s">
        <v>276</v>
      </c>
      <c r="G139" s="13">
        <f t="shared" ref="G139:G152" si="1">SUM(H139:K139)</f>
        <v>0</v>
      </c>
      <c r="H139" s="42">
        <f>SUM( H140:H141)</f>
        <v>0</v>
      </c>
      <c r="I139" s="42">
        <f>SUM( I140:I141)</f>
        <v>0</v>
      </c>
      <c r="J139" s="42">
        <f>SUM( J140:J141)</f>
        <v>0</v>
      </c>
      <c r="K139" s="42">
        <f>SUM( K140:K141)</f>
        <v>0</v>
      </c>
      <c r="L139" s="62"/>
      <c r="M139" s="49"/>
      <c r="P139" s="67">
        <v>860</v>
      </c>
    </row>
    <row r="140" spans="3:16" ht="12.75" x14ac:dyDescent="0.2">
      <c r="C140" s="5"/>
      <c r="D140" s="39" t="s">
        <v>277</v>
      </c>
      <c r="E140" s="34" t="s">
        <v>194</v>
      </c>
      <c r="F140" s="12" t="s">
        <v>278</v>
      </c>
      <c r="G140" s="13">
        <f t="shared" si="1"/>
        <v>0</v>
      </c>
      <c r="H140" s="44"/>
      <c r="I140" s="44"/>
      <c r="J140" s="44"/>
      <c r="K140" s="44"/>
      <c r="L140" s="62"/>
      <c r="M140" s="49"/>
      <c r="P140" s="67"/>
    </row>
    <row r="141" spans="3:16" ht="12.75" x14ac:dyDescent="0.2">
      <c r="C141" s="5"/>
      <c r="D141" s="39" t="s">
        <v>279</v>
      </c>
      <c r="E141" s="34" t="s">
        <v>197</v>
      </c>
      <c r="F141" s="12" t="s">
        <v>280</v>
      </c>
      <c r="G141" s="13">
        <f t="shared" si="1"/>
        <v>0</v>
      </c>
      <c r="H141" s="42">
        <f>H142+H143</f>
        <v>0</v>
      </c>
      <c r="I141" s="42">
        <f>I142+I143</f>
        <v>0</v>
      </c>
      <c r="J141" s="42">
        <f>J142+J143</f>
        <v>0</v>
      </c>
      <c r="K141" s="42">
        <f>K142+K143</f>
        <v>0</v>
      </c>
      <c r="L141" s="62"/>
      <c r="M141" s="49"/>
      <c r="P141" s="67"/>
    </row>
    <row r="142" spans="3:16" ht="12.75" x14ac:dyDescent="0.2">
      <c r="C142" s="5"/>
      <c r="D142" s="39" t="s">
        <v>281</v>
      </c>
      <c r="E142" s="35" t="s">
        <v>203</v>
      </c>
      <c r="F142" s="12" t="s">
        <v>282</v>
      </c>
      <c r="G142" s="13">
        <f t="shared" si="1"/>
        <v>0</v>
      </c>
      <c r="H142" s="44"/>
      <c r="I142" s="44"/>
      <c r="J142" s="44"/>
      <c r="K142" s="44"/>
      <c r="L142" s="62"/>
      <c r="M142" s="49"/>
      <c r="P142" s="67"/>
    </row>
    <row r="143" spans="3:16" ht="12.75" x14ac:dyDescent="0.2">
      <c r="C143" s="5"/>
      <c r="D143" s="39" t="s">
        <v>283</v>
      </c>
      <c r="E143" s="35" t="s">
        <v>284</v>
      </c>
      <c r="F143" s="12" t="s">
        <v>285</v>
      </c>
      <c r="G143" s="13">
        <f t="shared" si="1"/>
        <v>0</v>
      </c>
      <c r="H143" s="44"/>
      <c r="I143" s="44"/>
      <c r="J143" s="44"/>
      <c r="K143" s="44"/>
      <c r="L143" s="62"/>
      <c r="M143" s="49"/>
      <c r="P143" s="67"/>
    </row>
    <row r="144" spans="3:16" ht="12.75" x14ac:dyDescent="0.2">
      <c r="C144" s="5"/>
      <c r="D144" s="39" t="s">
        <v>286</v>
      </c>
      <c r="E144" s="14" t="s">
        <v>235</v>
      </c>
      <c r="F144" s="12" t="s">
        <v>287</v>
      </c>
      <c r="G144" s="13">
        <f t="shared" si="1"/>
        <v>0</v>
      </c>
      <c r="H144" s="42">
        <f>H145+H147</f>
        <v>0</v>
      </c>
      <c r="I144" s="42">
        <f>I145+I147</f>
        <v>0</v>
      </c>
      <c r="J144" s="42">
        <f>J145+J147</f>
        <v>0</v>
      </c>
      <c r="K144" s="42">
        <f>K145+K147</f>
        <v>0</v>
      </c>
      <c r="L144" s="62"/>
      <c r="M144" s="49"/>
      <c r="P144" s="67">
        <v>870</v>
      </c>
    </row>
    <row r="145" spans="3:19" ht="12.75" x14ac:dyDescent="0.2">
      <c r="C145" s="5"/>
      <c r="D145" s="39" t="s">
        <v>288</v>
      </c>
      <c r="E145" s="34" t="s">
        <v>265</v>
      </c>
      <c r="F145" s="12" t="s">
        <v>289</v>
      </c>
      <c r="G145" s="13">
        <f t="shared" si="1"/>
        <v>0</v>
      </c>
      <c r="H145" s="40"/>
      <c r="I145" s="40"/>
      <c r="J145" s="40"/>
      <c r="K145" s="40"/>
      <c r="L145" s="62"/>
      <c r="M145" s="49"/>
      <c r="P145" s="67">
        <v>880</v>
      </c>
    </row>
    <row r="146" spans="3:19" ht="12.75" x14ac:dyDescent="0.2">
      <c r="C146" s="5"/>
      <c r="D146" s="39" t="s">
        <v>290</v>
      </c>
      <c r="E146" s="35" t="s">
        <v>268</v>
      </c>
      <c r="F146" s="12" t="s">
        <v>291</v>
      </c>
      <c r="G146" s="13">
        <f t="shared" si="1"/>
        <v>0</v>
      </c>
      <c r="H146" s="40"/>
      <c r="I146" s="40"/>
      <c r="J146" s="40"/>
      <c r="K146" s="40"/>
      <c r="L146" s="62"/>
      <c r="M146" s="49"/>
      <c r="P146" s="67"/>
    </row>
    <row r="147" spans="3:19" ht="12.75" x14ac:dyDescent="0.2">
      <c r="C147" s="5"/>
      <c r="D147" s="39" t="s">
        <v>292</v>
      </c>
      <c r="E147" s="34" t="s">
        <v>271</v>
      </c>
      <c r="F147" s="12" t="s">
        <v>293</v>
      </c>
      <c r="G147" s="13">
        <f t="shared" si="1"/>
        <v>0</v>
      </c>
      <c r="H147" s="45"/>
      <c r="I147" s="45"/>
      <c r="J147" s="45"/>
      <c r="K147" s="45"/>
      <c r="L147" s="62"/>
      <c r="M147" s="49"/>
      <c r="P147" s="67">
        <v>890</v>
      </c>
    </row>
    <row r="148" spans="3:19" ht="22.5" x14ac:dyDescent="0.2">
      <c r="C148" s="5"/>
      <c r="D148" s="39" t="s">
        <v>294</v>
      </c>
      <c r="E148" s="11" t="s">
        <v>295</v>
      </c>
      <c r="F148" s="12" t="s">
        <v>296</v>
      </c>
      <c r="G148" s="13">
        <f t="shared" si="1"/>
        <v>3729.1484792159999</v>
      </c>
      <c r="H148" s="46">
        <f>SUM( H149:H150)</f>
        <v>14.418057599999999</v>
      </c>
      <c r="I148" s="46">
        <f>SUM( I149:I150)</f>
        <v>3456.4524236759999</v>
      </c>
      <c r="J148" s="46">
        <f>SUM( J149:J150)</f>
        <v>169.60970334000001</v>
      </c>
      <c r="K148" s="46">
        <f>SUM( K149:K150)</f>
        <v>88.66829460000001</v>
      </c>
      <c r="L148" s="62"/>
      <c r="M148" s="49"/>
      <c r="P148" s="67">
        <v>900</v>
      </c>
    </row>
    <row r="149" spans="3:19" ht="12.75" x14ac:dyDescent="0.2">
      <c r="C149" s="5"/>
      <c r="D149" s="39" t="s">
        <v>297</v>
      </c>
      <c r="E149" s="14" t="s">
        <v>173</v>
      </c>
      <c r="F149" s="12" t="s">
        <v>298</v>
      </c>
      <c r="G149" s="13">
        <f t="shared" si="1"/>
        <v>0</v>
      </c>
      <c r="H149" s="45"/>
      <c r="I149" s="45"/>
      <c r="J149" s="45"/>
      <c r="K149" s="45"/>
      <c r="L149" s="62"/>
      <c r="M149" s="49"/>
      <c r="P149" s="67"/>
    </row>
    <row r="150" spans="3:19" ht="12.75" x14ac:dyDescent="0.2">
      <c r="C150" s="5"/>
      <c r="D150" s="39" t="s">
        <v>299</v>
      </c>
      <c r="E150" s="14" t="s">
        <v>176</v>
      </c>
      <c r="F150" s="12" t="s">
        <v>300</v>
      </c>
      <c r="G150" s="13">
        <f t="shared" si="1"/>
        <v>3729.1484792159999</v>
      </c>
      <c r="H150" s="46">
        <f>H151+H152</f>
        <v>14.418057599999999</v>
      </c>
      <c r="I150" s="46">
        <f>I151+I152</f>
        <v>3456.4524236759999</v>
      </c>
      <c r="J150" s="46">
        <f>J151+J152</f>
        <v>169.60970334000001</v>
      </c>
      <c r="K150" s="46">
        <f>K151+K152</f>
        <v>88.66829460000001</v>
      </c>
      <c r="L150" s="62"/>
      <c r="M150" s="49"/>
      <c r="P150" s="67"/>
    </row>
    <row r="151" spans="3:19" ht="12.75" x14ac:dyDescent="0.2">
      <c r="C151" s="5"/>
      <c r="D151" s="39" t="s">
        <v>301</v>
      </c>
      <c r="E151" s="34" t="s">
        <v>302</v>
      </c>
      <c r="F151" s="12" t="s">
        <v>303</v>
      </c>
      <c r="G151" s="13">
        <f t="shared" si="1"/>
        <v>3018.1360428359999</v>
      </c>
      <c r="H151" s="45"/>
      <c r="I151" s="45">
        <f>I129*56363.61/1000*1.2</f>
        <v>3018.1360428359999</v>
      </c>
      <c r="J151" s="45"/>
      <c r="K151" s="45"/>
      <c r="L151" s="62"/>
      <c r="M151" s="49"/>
      <c r="P151" s="67" t="s">
        <v>333</v>
      </c>
    </row>
    <row r="152" spans="3:19" ht="12.75" x14ac:dyDescent="0.2">
      <c r="C152" s="5"/>
      <c r="D152" s="39" t="s">
        <v>304</v>
      </c>
      <c r="E152" s="34" t="s">
        <v>271</v>
      </c>
      <c r="F152" s="12" t="s">
        <v>305</v>
      </c>
      <c r="G152" s="13">
        <f t="shared" si="1"/>
        <v>711.01243637999994</v>
      </c>
      <c r="H152" s="45">
        <f>H130*88.45/1000*1.2</f>
        <v>14.418057599999999</v>
      </c>
      <c r="I152" s="45">
        <f>I130*88.45/1000*1.2</f>
        <v>438.31638083999997</v>
      </c>
      <c r="J152" s="45">
        <f>J130*88.45/1000*1.2</f>
        <v>169.60970334000001</v>
      </c>
      <c r="K152" s="45">
        <f>K130*88.45/1000*1.2</f>
        <v>88.66829460000001</v>
      </c>
      <c r="L152" s="62"/>
      <c r="M152" s="49"/>
      <c r="P152" s="67" t="s">
        <v>334</v>
      </c>
    </row>
    <row r="153" spans="3:19" x14ac:dyDescent="0.25">
      <c r="D153" s="4"/>
      <c r="E153" s="47"/>
      <c r="F153" s="47"/>
      <c r="G153" s="47"/>
      <c r="H153" s="47"/>
      <c r="I153" s="47"/>
      <c r="J153" s="47"/>
      <c r="K153" s="48"/>
      <c r="L153" s="48"/>
      <c r="M153" s="48"/>
      <c r="N153" s="48"/>
      <c r="O153" s="48"/>
      <c r="P153" s="48"/>
      <c r="Q153" s="48"/>
      <c r="R153" s="63"/>
      <c r="S153" s="63"/>
    </row>
    <row r="154" spans="3:19" ht="12.75" x14ac:dyDescent="0.2">
      <c r="E154" s="49" t="s">
        <v>306</v>
      </c>
      <c r="F154" s="108" t="str">
        <f>IF([1]Титульный!G45="","",[1]Титульный!G45)</f>
        <v>экономист</v>
      </c>
      <c r="G154" s="108"/>
      <c r="H154" s="50"/>
      <c r="I154" s="108" t="str">
        <f>IF([1]Титульный!G44="","",[1]Титульный!G44)</f>
        <v>Кривнева Е. В.</v>
      </c>
      <c r="J154" s="108"/>
      <c r="K154" s="108"/>
      <c r="L154" s="50"/>
      <c r="M154" s="72"/>
      <c r="N154" s="72"/>
      <c r="O154" s="52"/>
      <c r="P154" s="48"/>
      <c r="Q154" s="48"/>
      <c r="R154" s="63"/>
      <c r="S154" s="63"/>
    </row>
    <row r="155" spans="3:19" ht="12.75" x14ac:dyDescent="0.2">
      <c r="E155" s="51" t="s">
        <v>307</v>
      </c>
      <c r="F155" s="109" t="s">
        <v>308</v>
      </c>
      <c r="G155" s="109"/>
      <c r="H155" s="52"/>
      <c r="I155" s="109" t="s">
        <v>309</v>
      </c>
      <c r="J155" s="109"/>
      <c r="K155" s="109"/>
      <c r="L155" s="52"/>
      <c r="M155" s="109" t="s">
        <v>335</v>
      </c>
      <c r="N155" s="109"/>
      <c r="O155" s="49"/>
      <c r="P155" s="48"/>
      <c r="Q155" s="48"/>
      <c r="R155" s="63"/>
      <c r="S155" s="63"/>
    </row>
    <row r="156" spans="3:19" ht="12.75" x14ac:dyDescent="0.2">
      <c r="E156" s="51" t="s">
        <v>310</v>
      </c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8"/>
      <c r="Q156" s="48"/>
      <c r="R156" s="63"/>
      <c r="S156" s="63"/>
    </row>
    <row r="157" spans="3:19" ht="12.75" x14ac:dyDescent="0.2">
      <c r="E157" s="51" t="s">
        <v>311</v>
      </c>
      <c r="F157" s="108" t="str">
        <f>IF([1]Титульный!G46="","",[1]Титульный!G46)</f>
        <v>(861) 258-50-71</v>
      </c>
      <c r="G157" s="108"/>
      <c r="H157" s="108"/>
      <c r="I157" s="49"/>
      <c r="J157" s="51" t="s">
        <v>312</v>
      </c>
      <c r="K157" s="64"/>
      <c r="L157" s="49"/>
      <c r="M157" s="49"/>
      <c r="N157" s="49"/>
      <c r="O157" s="49"/>
      <c r="P157" s="48"/>
      <c r="Q157" s="48"/>
      <c r="R157" s="63"/>
      <c r="S157" s="63"/>
    </row>
    <row r="158" spans="3:19" ht="12.75" x14ac:dyDescent="0.2">
      <c r="E158" s="49" t="s">
        <v>313</v>
      </c>
      <c r="F158" s="110" t="s">
        <v>314</v>
      </c>
      <c r="G158" s="110"/>
      <c r="H158" s="110"/>
      <c r="I158" s="49"/>
      <c r="J158" s="53" t="s">
        <v>315</v>
      </c>
      <c r="K158" s="53"/>
      <c r="L158" s="49"/>
      <c r="M158" s="49"/>
      <c r="N158" s="49"/>
      <c r="O158" s="49"/>
      <c r="P158" s="48"/>
      <c r="Q158" s="48"/>
      <c r="R158" s="63"/>
      <c r="S158" s="63"/>
    </row>
    <row r="159" spans="3:19" x14ac:dyDescent="0.25"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63"/>
      <c r="S159" s="63"/>
    </row>
    <row r="160" spans="3:19" x14ac:dyDescent="0.25"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63"/>
      <c r="S160" s="63"/>
    </row>
    <row r="161" spans="5:19" x14ac:dyDescent="0.25"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63"/>
      <c r="S161" s="63"/>
    </row>
    <row r="162" spans="5:19" x14ac:dyDescent="0.25"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63"/>
      <c r="S162" s="63"/>
    </row>
    <row r="163" spans="5:19" x14ac:dyDescent="0.25"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63"/>
      <c r="S163" s="63"/>
    </row>
    <row r="164" spans="5:19" x14ac:dyDescent="0.25"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63"/>
      <c r="S164" s="63"/>
    </row>
    <row r="165" spans="5:19" x14ac:dyDescent="0.25"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63"/>
      <c r="S165" s="63"/>
    </row>
    <row r="166" spans="5:19" x14ac:dyDescent="0.25"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63"/>
      <c r="S166" s="63"/>
    </row>
    <row r="167" spans="5:19" x14ac:dyDescent="0.25"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63"/>
      <c r="S167" s="63"/>
    </row>
    <row r="168" spans="5:19" x14ac:dyDescent="0.25"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63"/>
      <c r="S168" s="63"/>
    </row>
    <row r="169" spans="5:19" x14ac:dyDescent="0.25"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63"/>
      <c r="S169" s="63"/>
    </row>
    <row r="170" spans="5:19" x14ac:dyDescent="0.25"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63"/>
      <c r="S170" s="63"/>
    </row>
    <row r="171" spans="5:19" x14ac:dyDescent="0.25"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63"/>
      <c r="S171" s="63"/>
    </row>
    <row r="172" spans="5:19" x14ac:dyDescent="0.25"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63"/>
      <c r="S172" s="63"/>
    </row>
    <row r="173" spans="5:19" x14ac:dyDescent="0.25"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63"/>
      <c r="S173" s="63"/>
    </row>
    <row r="174" spans="5:19" x14ac:dyDescent="0.25"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63"/>
      <c r="S174" s="63"/>
    </row>
    <row r="175" spans="5:19" x14ac:dyDescent="0.25"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63"/>
      <c r="S175" s="63"/>
    </row>
    <row r="176" spans="5:19" x14ac:dyDescent="0.25"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63"/>
      <c r="S176" s="63"/>
    </row>
    <row r="177" spans="5:19" x14ac:dyDescent="0.25"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63"/>
      <c r="S177" s="63"/>
    </row>
    <row r="178" spans="5:19" x14ac:dyDescent="0.25"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63"/>
      <c r="S178" s="63"/>
    </row>
    <row r="179" spans="5:19" x14ac:dyDescent="0.25"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63"/>
      <c r="S179" s="63"/>
    </row>
    <row r="180" spans="5:19" x14ac:dyDescent="0.25"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63"/>
      <c r="S180" s="63"/>
    </row>
    <row r="181" spans="5:19" x14ac:dyDescent="0.25"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63"/>
      <c r="S181" s="63"/>
    </row>
    <row r="182" spans="5:19" x14ac:dyDescent="0.25"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63"/>
      <c r="S182" s="63"/>
    </row>
    <row r="183" spans="5:19" x14ac:dyDescent="0.25"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63"/>
      <c r="S183" s="63"/>
    </row>
    <row r="184" spans="5:19" x14ac:dyDescent="0.25"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5:19" x14ac:dyDescent="0.25"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5:19" x14ac:dyDescent="0.25"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5:19" x14ac:dyDescent="0.25"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</sheetData>
  <mergeCells count="18">
    <mergeCell ref="F157:H157"/>
    <mergeCell ref="F158:H158"/>
    <mergeCell ref="D54:K54"/>
    <mergeCell ref="D94:K94"/>
    <mergeCell ref="D98:K98"/>
    <mergeCell ref="D131:K131"/>
    <mergeCell ref="F154:G154"/>
    <mergeCell ref="I154:K154"/>
    <mergeCell ref="F155:G155"/>
    <mergeCell ref="I155:K155"/>
    <mergeCell ref="M155:N155"/>
    <mergeCell ref="H11:K11"/>
    <mergeCell ref="D14:K14"/>
    <mergeCell ref="D8:E8"/>
    <mergeCell ref="D11:D12"/>
    <mergeCell ref="E11:E12"/>
    <mergeCell ref="F11:F12"/>
    <mergeCell ref="G11:G12"/>
  </mergeCells>
  <dataValidations count="2">
    <dataValidation allowBlank="1" showInputMessage="1" promptTitle="Ввод" prompt="Для выбора организации необходимо два раза нажать левую клавишу мыши!" sqref="E59 E43 E26:E27 E83 E19 E66:E67"/>
    <dataValidation type="decimal" allowBlank="1" showErrorMessage="1" errorTitle="Ошибка" error="Допускается ввод только действительных чисел!" sqref="G55:K59 G95:K97 G69:K83 G15:K19 G85:K93 G99:K130 G24:K27 G45:K53 G29:K43 G132:K152 G61:K62 G21:K22 G64:K67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87"/>
  <sheetViews>
    <sheetView topLeftCell="C7" workbookViewId="0">
      <selection activeCell="I130" sqref="I130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 x14ac:dyDescent="0.25">
      <c r="S1" s="54"/>
      <c r="T1" s="54"/>
      <c r="U1" s="54"/>
      <c r="V1" s="54"/>
      <c r="Y1" s="54"/>
      <c r="AA1" s="54"/>
      <c r="AN1" s="54"/>
      <c r="AO1" s="54"/>
      <c r="AP1" s="54"/>
      <c r="BC1" s="54"/>
      <c r="BF1" s="54"/>
      <c r="BI1" s="54"/>
      <c r="BM1" s="54"/>
      <c r="BO1" s="54"/>
      <c r="BX1" s="54"/>
      <c r="BY1" s="54"/>
      <c r="CC1" s="54"/>
    </row>
    <row r="2" spans="1:81" hidden="1" x14ac:dyDescent="0.25"/>
    <row r="3" spans="1:81" hidden="1" x14ac:dyDescent="0.25"/>
    <row r="4" spans="1:81" hidden="1" x14ac:dyDescent="0.25">
      <c r="A4" s="55"/>
      <c r="F4" s="56"/>
      <c r="G4" s="56"/>
      <c r="H4" s="56"/>
      <c r="I4" s="56"/>
      <c r="J4" s="56"/>
      <c r="K4" s="56"/>
      <c r="M4" s="56"/>
      <c r="N4" s="56"/>
      <c r="O4" s="56"/>
      <c r="P4" s="56"/>
      <c r="Q4" s="56"/>
    </row>
    <row r="5" spans="1:81" hidden="1" x14ac:dyDescent="0.25">
      <c r="A5" s="57"/>
      <c r="F5" s="1" t="s">
        <v>316</v>
      </c>
      <c r="G5" s="1" t="s">
        <v>317</v>
      </c>
      <c r="H5" s="1" t="s">
        <v>318</v>
      </c>
      <c r="I5" s="1" t="s">
        <v>319</v>
      </c>
      <c r="J5" s="1" t="s">
        <v>320</v>
      </c>
      <c r="K5" s="1" t="s">
        <v>321</v>
      </c>
      <c r="L5" s="1" t="s">
        <v>322</v>
      </c>
      <c r="M5" s="1" t="s">
        <v>323</v>
      </c>
      <c r="N5" s="1" t="s">
        <v>323</v>
      </c>
      <c r="O5" s="1" t="s">
        <v>324</v>
      </c>
      <c r="P5" s="1" t="s">
        <v>325</v>
      </c>
      <c r="Q5" s="1" t="s">
        <v>326</v>
      </c>
    </row>
    <row r="6" spans="1:81" hidden="1" x14ac:dyDescent="0.25">
      <c r="A6" s="57"/>
    </row>
    <row r="7" spans="1:81" ht="12" customHeight="1" x14ac:dyDescent="0.25">
      <c r="A7" s="57"/>
      <c r="D7" s="5"/>
      <c r="E7" s="5"/>
      <c r="F7" s="5"/>
      <c r="G7" s="5"/>
      <c r="H7" s="5"/>
      <c r="I7" s="5"/>
      <c r="J7" s="5"/>
      <c r="K7" s="58"/>
      <c r="Q7" s="66"/>
    </row>
    <row r="8" spans="1:81" ht="22.5" customHeight="1" x14ac:dyDescent="0.25">
      <c r="A8" s="57"/>
      <c r="D8" s="104" t="s">
        <v>0</v>
      </c>
      <c r="E8" s="10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81" x14ac:dyDescent="0.25">
      <c r="A9" s="57"/>
      <c r="D9" s="73">
        <v>44287</v>
      </c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81" ht="12" customHeight="1" x14ac:dyDescent="0.25">
      <c r="D10" s="4"/>
      <c r="E10" s="4"/>
      <c r="F10" s="5"/>
      <c r="G10" s="5"/>
      <c r="H10" s="5"/>
      <c r="I10" s="5"/>
      <c r="K10" s="6" t="s">
        <v>1</v>
      </c>
    </row>
    <row r="11" spans="1:81" ht="15" customHeight="1" x14ac:dyDescent="0.25">
      <c r="C11" s="5"/>
      <c r="D11" s="105" t="s">
        <v>2</v>
      </c>
      <c r="E11" s="102" t="s">
        <v>3</v>
      </c>
      <c r="F11" s="102" t="s">
        <v>4</v>
      </c>
      <c r="G11" s="102" t="s">
        <v>5</v>
      </c>
      <c r="H11" s="102" t="s">
        <v>6</v>
      </c>
      <c r="I11" s="102"/>
      <c r="J11" s="102"/>
      <c r="K11" s="103"/>
      <c r="L11" s="59"/>
    </row>
    <row r="12" spans="1:81" ht="15" customHeight="1" x14ac:dyDescent="0.25">
      <c r="C12" s="5"/>
      <c r="D12" s="106"/>
      <c r="E12" s="107"/>
      <c r="F12" s="107"/>
      <c r="G12" s="107"/>
      <c r="H12" s="76" t="s">
        <v>7</v>
      </c>
      <c r="I12" s="76" t="s">
        <v>8</v>
      </c>
      <c r="J12" s="76" t="s">
        <v>9</v>
      </c>
      <c r="K12" s="7" t="s">
        <v>10</v>
      </c>
      <c r="L12" s="59"/>
    </row>
    <row r="13" spans="1:81" ht="12" customHeight="1" x14ac:dyDescent="0.25">
      <c r="D13" s="8">
        <v>0</v>
      </c>
      <c r="E13" s="8">
        <v>1</v>
      </c>
      <c r="F13" s="8">
        <v>2</v>
      </c>
      <c r="G13" s="8">
        <v>3</v>
      </c>
      <c r="H13" s="8">
        <v>4</v>
      </c>
      <c r="I13" s="8">
        <v>5</v>
      </c>
      <c r="J13" s="8">
        <v>6</v>
      </c>
      <c r="K13" s="8">
        <v>7</v>
      </c>
    </row>
    <row r="14" spans="1:81" s="60" customFormat="1" ht="15" customHeight="1" x14ac:dyDescent="0.25">
      <c r="C14" s="9"/>
      <c r="D14" s="99" t="s">
        <v>11</v>
      </c>
      <c r="E14" s="100"/>
      <c r="F14" s="100"/>
      <c r="G14" s="100"/>
      <c r="H14" s="100"/>
      <c r="I14" s="100"/>
      <c r="J14" s="100"/>
      <c r="K14" s="101"/>
      <c r="L14" s="61"/>
    </row>
    <row r="15" spans="1:81" s="60" customFormat="1" ht="15" customHeight="1" x14ac:dyDescent="0.2">
      <c r="C15" s="9"/>
      <c r="D15" s="10" t="s">
        <v>12</v>
      </c>
      <c r="E15" s="11" t="s">
        <v>13</v>
      </c>
      <c r="F15" s="12">
        <v>10</v>
      </c>
      <c r="G15" s="13">
        <f>SUM(H15:K15)</f>
        <v>5553.93</v>
      </c>
      <c r="H15" s="13">
        <f>H16+H17+H21+H24</f>
        <v>778.03300000000002</v>
      </c>
      <c r="I15" s="13">
        <f>I16+I17+I21+I24</f>
        <v>4144.0950000000003</v>
      </c>
      <c r="J15" s="13">
        <f>J16+J17+J21+J24</f>
        <v>631.80200000000002</v>
      </c>
      <c r="K15" s="13">
        <f>K16+K17+K21+K24</f>
        <v>0</v>
      </c>
      <c r="L15" s="61"/>
      <c r="M15" s="49"/>
      <c r="P15" s="67">
        <v>10</v>
      </c>
    </row>
    <row r="16" spans="1:81" s="60" customFormat="1" ht="15" customHeight="1" x14ac:dyDescent="0.2">
      <c r="C16" s="9"/>
      <c r="D16" s="10" t="s">
        <v>14</v>
      </c>
      <c r="E16" s="14" t="s">
        <v>15</v>
      </c>
      <c r="F16" s="12">
        <v>20</v>
      </c>
      <c r="G16" s="13">
        <f t="shared" ref="G16:G138" si="0">SUM(H16:K16)</f>
        <v>0</v>
      </c>
      <c r="H16" s="15"/>
      <c r="I16" s="15"/>
      <c r="J16" s="15"/>
      <c r="K16" s="15"/>
      <c r="L16" s="61"/>
      <c r="M16" s="49"/>
      <c r="P16" s="67">
        <v>20</v>
      </c>
    </row>
    <row r="17" spans="3:16" s="60" customFormat="1" ht="12.75" x14ac:dyDescent="0.2">
      <c r="C17" s="9"/>
      <c r="D17" s="10" t="s">
        <v>16</v>
      </c>
      <c r="E17" s="14" t="s">
        <v>17</v>
      </c>
      <c r="F17" s="12">
        <v>30</v>
      </c>
      <c r="G17" s="13">
        <f t="shared" si="0"/>
        <v>0.218</v>
      </c>
      <c r="H17" s="13">
        <f>SUM(H18:H20)</f>
        <v>0</v>
      </c>
      <c r="I17" s="13">
        <f>SUM(I18:I20)</f>
        <v>0</v>
      </c>
      <c r="J17" s="13">
        <f>SUM(J18:J20)</f>
        <v>0.218</v>
      </c>
      <c r="K17" s="13">
        <f>SUM(K18:K20)</f>
        <v>0</v>
      </c>
      <c r="L17" s="61"/>
      <c r="M17" s="49"/>
      <c r="P17" s="67">
        <v>30</v>
      </c>
    </row>
    <row r="18" spans="3:16" s="60" customFormat="1" ht="12.75" x14ac:dyDescent="0.2">
      <c r="C18" s="9"/>
      <c r="D18" s="16" t="s">
        <v>18</v>
      </c>
      <c r="E18" s="17"/>
      <c r="F18" s="18" t="s">
        <v>19</v>
      </c>
      <c r="G18" s="19"/>
      <c r="H18" s="19"/>
      <c r="I18" s="19"/>
      <c r="J18" s="19"/>
      <c r="K18" s="19"/>
      <c r="L18" s="61"/>
      <c r="M18" s="49"/>
      <c r="P18" s="67"/>
    </row>
    <row r="19" spans="3:16" s="60" customFormat="1" ht="15" x14ac:dyDescent="0.25">
      <c r="C19" s="24" t="s">
        <v>29</v>
      </c>
      <c r="D19" s="25" t="s">
        <v>336</v>
      </c>
      <c r="E19" s="26" t="s">
        <v>337</v>
      </c>
      <c r="F19" s="27">
        <v>31</v>
      </c>
      <c r="G19" s="28">
        <f>SUM(H19:K19)</f>
        <v>0.218</v>
      </c>
      <c r="H19" s="29"/>
      <c r="I19" s="29"/>
      <c r="J19" s="29">
        <v>0.218</v>
      </c>
      <c r="K19" s="30"/>
      <c r="L19" s="61"/>
      <c r="M19" s="69" t="s">
        <v>338</v>
      </c>
      <c r="N19" s="70" t="s">
        <v>339</v>
      </c>
      <c r="O19" s="70" t="s">
        <v>340</v>
      </c>
    </row>
    <row r="20" spans="3:16" s="60" customFormat="1" ht="12.75" x14ac:dyDescent="0.2">
      <c r="C20" s="9"/>
      <c r="D20" s="20"/>
      <c r="E20" s="21" t="s">
        <v>20</v>
      </c>
      <c r="F20" s="22"/>
      <c r="G20" s="22"/>
      <c r="H20" s="22"/>
      <c r="I20" s="22"/>
      <c r="J20" s="22"/>
      <c r="K20" s="23"/>
      <c r="L20" s="61"/>
      <c r="M20" s="49"/>
      <c r="P20" s="68"/>
    </row>
    <row r="21" spans="3:16" s="60" customFormat="1" ht="12.75" x14ac:dyDescent="0.2">
      <c r="C21" s="9"/>
      <c r="D21" s="10" t="s">
        <v>21</v>
      </c>
      <c r="E21" s="14" t="s">
        <v>22</v>
      </c>
      <c r="F21" s="12" t="s">
        <v>23</v>
      </c>
      <c r="G21" s="13">
        <f t="shared" si="0"/>
        <v>0</v>
      </c>
      <c r="H21" s="13">
        <f>SUM(H22:H23)</f>
        <v>0</v>
      </c>
      <c r="I21" s="13">
        <f>SUM(I22:I23)</f>
        <v>0</v>
      </c>
      <c r="J21" s="13">
        <f>SUM(J22:J23)</f>
        <v>0</v>
      </c>
      <c r="K21" s="13">
        <f>SUM(K22:K23)</f>
        <v>0</v>
      </c>
      <c r="L21" s="61"/>
      <c r="M21" s="49"/>
      <c r="P21" s="68"/>
    </row>
    <row r="22" spans="3:16" s="60" customFormat="1" ht="12.75" x14ac:dyDescent="0.2">
      <c r="C22" s="9"/>
      <c r="D22" s="16" t="s">
        <v>24</v>
      </c>
      <c r="E22" s="17"/>
      <c r="F22" s="18" t="s">
        <v>23</v>
      </c>
      <c r="G22" s="19"/>
      <c r="H22" s="19"/>
      <c r="I22" s="19"/>
      <c r="J22" s="19"/>
      <c r="K22" s="19"/>
      <c r="L22" s="61"/>
      <c r="M22" s="49"/>
      <c r="P22" s="67"/>
    </row>
    <row r="23" spans="3:16" s="60" customFormat="1" ht="12.75" x14ac:dyDescent="0.2">
      <c r="C23" s="9"/>
      <c r="D23" s="20"/>
      <c r="E23" s="21" t="s">
        <v>20</v>
      </c>
      <c r="F23" s="22"/>
      <c r="G23" s="22"/>
      <c r="H23" s="22"/>
      <c r="I23" s="22"/>
      <c r="J23" s="22"/>
      <c r="K23" s="23"/>
      <c r="L23" s="61"/>
      <c r="M23" s="49"/>
      <c r="P23" s="68"/>
    </row>
    <row r="24" spans="3:16" s="60" customFormat="1" ht="12.75" x14ac:dyDescent="0.2">
      <c r="C24" s="9"/>
      <c r="D24" s="10" t="s">
        <v>25</v>
      </c>
      <c r="E24" s="14" t="s">
        <v>26</v>
      </c>
      <c r="F24" s="12" t="s">
        <v>27</v>
      </c>
      <c r="G24" s="13">
        <f t="shared" si="0"/>
        <v>5553.7120000000004</v>
      </c>
      <c r="H24" s="13">
        <f>SUM(H25:H28)</f>
        <v>778.03300000000002</v>
      </c>
      <c r="I24" s="13">
        <f>SUM(I25:I28)</f>
        <v>4144.0950000000003</v>
      </c>
      <c r="J24" s="13">
        <f>SUM(J25:J28)</f>
        <v>631.58400000000006</v>
      </c>
      <c r="K24" s="13">
        <f>SUM(K25:K28)</f>
        <v>0</v>
      </c>
      <c r="L24" s="61"/>
      <c r="M24" s="49"/>
      <c r="P24" s="67">
        <v>40</v>
      </c>
    </row>
    <row r="25" spans="3:16" s="60" customFormat="1" ht="12.75" x14ac:dyDescent="0.2">
      <c r="C25" s="9"/>
      <c r="D25" s="16" t="s">
        <v>28</v>
      </c>
      <c r="E25" s="17"/>
      <c r="F25" s="18" t="s">
        <v>27</v>
      </c>
      <c r="G25" s="19"/>
      <c r="H25" s="19"/>
      <c r="I25" s="19"/>
      <c r="J25" s="19"/>
      <c r="K25" s="19"/>
      <c r="L25" s="61"/>
      <c r="M25" s="49"/>
      <c r="P25" s="67"/>
    </row>
    <row r="26" spans="3:16" s="60" customFormat="1" ht="15" x14ac:dyDescent="0.25">
      <c r="C26" s="24" t="s">
        <v>29</v>
      </c>
      <c r="D26" s="25" t="s">
        <v>30</v>
      </c>
      <c r="E26" s="26" t="s">
        <v>344</v>
      </c>
      <c r="F26" s="27">
        <v>431</v>
      </c>
      <c r="G26" s="28">
        <f>SUM(H26:K26)</f>
        <v>5264.4160000000011</v>
      </c>
      <c r="H26" s="29">
        <v>778.03300000000002</v>
      </c>
      <c r="I26" s="29">
        <v>4144.0950000000003</v>
      </c>
      <c r="J26" s="29">
        <v>342.28800000000001</v>
      </c>
      <c r="K26" s="30"/>
      <c r="L26" s="61"/>
      <c r="M26" s="69" t="s">
        <v>327</v>
      </c>
      <c r="N26" s="70" t="s">
        <v>328</v>
      </c>
      <c r="O26" s="70" t="s">
        <v>329</v>
      </c>
    </row>
    <row r="27" spans="3:16" s="60" customFormat="1" ht="15" x14ac:dyDescent="0.25">
      <c r="C27" s="24" t="s">
        <v>29</v>
      </c>
      <c r="D27" s="25" t="s">
        <v>342</v>
      </c>
      <c r="E27" s="26" t="s">
        <v>68</v>
      </c>
      <c r="F27" s="27">
        <v>432</v>
      </c>
      <c r="G27" s="28">
        <f>SUM(H27:K27)</f>
        <v>289.29599999999999</v>
      </c>
      <c r="H27" s="29"/>
      <c r="I27" s="29"/>
      <c r="J27" s="29">
        <v>289.29599999999999</v>
      </c>
      <c r="K27" s="30"/>
      <c r="L27" s="61"/>
      <c r="M27" s="69" t="s">
        <v>330</v>
      </c>
      <c r="N27" s="70" t="s">
        <v>328</v>
      </c>
      <c r="O27" s="70" t="s">
        <v>332</v>
      </c>
    </row>
    <row r="28" spans="3:16" s="60" customFormat="1" ht="12.75" x14ac:dyDescent="0.2">
      <c r="C28" s="9"/>
      <c r="D28" s="20"/>
      <c r="E28" s="21" t="s">
        <v>20</v>
      </c>
      <c r="F28" s="22"/>
      <c r="G28" s="22"/>
      <c r="H28" s="22"/>
      <c r="I28" s="22"/>
      <c r="J28" s="22"/>
      <c r="K28" s="23"/>
      <c r="L28" s="61"/>
      <c r="M28" s="49"/>
      <c r="P28" s="67"/>
    </row>
    <row r="29" spans="3:16" s="60" customFormat="1" ht="12.75" x14ac:dyDescent="0.2">
      <c r="C29" s="9"/>
      <c r="D29" s="10" t="s">
        <v>31</v>
      </c>
      <c r="E29" s="11" t="s">
        <v>32</v>
      </c>
      <c r="F29" s="12" t="s">
        <v>33</v>
      </c>
      <c r="G29" s="13">
        <f t="shared" si="0"/>
        <v>2503.1700000000005</v>
      </c>
      <c r="H29" s="13">
        <f>H31+H32+H33</f>
        <v>0</v>
      </c>
      <c r="I29" s="13">
        <f>I30+I32+I33</f>
        <v>0</v>
      </c>
      <c r="J29" s="13">
        <f>J30+J31+J33</f>
        <v>1629.9360000000001</v>
      </c>
      <c r="K29" s="13">
        <f>K30+K31+K32</f>
        <v>873.23400000000038</v>
      </c>
      <c r="L29" s="61"/>
      <c r="M29" s="49"/>
      <c r="P29" s="67">
        <v>50</v>
      </c>
    </row>
    <row r="30" spans="3:16" s="60" customFormat="1" ht="12.75" x14ac:dyDescent="0.2">
      <c r="C30" s="9"/>
      <c r="D30" s="10" t="s">
        <v>34</v>
      </c>
      <c r="E30" s="14" t="s">
        <v>7</v>
      </c>
      <c r="F30" s="12" t="s">
        <v>35</v>
      </c>
      <c r="G30" s="13">
        <f t="shared" si="0"/>
        <v>778.01400000000001</v>
      </c>
      <c r="H30" s="31"/>
      <c r="I30" s="15"/>
      <c r="J30" s="15">
        <f>H46</f>
        <v>778.01400000000001</v>
      </c>
      <c r="K30" s="15"/>
      <c r="L30" s="61"/>
      <c r="M30" s="49"/>
      <c r="P30" s="67">
        <v>60</v>
      </c>
    </row>
    <row r="31" spans="3:16" s="60" customFormat="1" ht="12.75" x14ac:dyDescent="0.2">
      <c r="C31" s="9"/>
      <c r="D31" s="10" t="s">
        <v>36</v>
      </c>
      <c r="E31" s="14" t="s">
        <v>8</v>
      </c>
      <c r="F31" s="12" t="s">
        <v>37</v>
      </c>
      <c r="G31" s="13">
        <f t="shared" si="0"/>
        <v>851.92200000000025</v>
      </c>
      <c r="H31" s="15"/>
      <c r="I31" s="31"/>
      <c r="J31" s="15">
        <f>I26-I35-I49</f>
        <v>851.92200000000025</v>
      </c>
      <c r="K31" s="15"/>
      <c r="L31" s="61"/>
      <c r="M31" s="49"/>
      <c r="P31" s="67">
        <v>70</v>
      </c>
    </row>
    <row r="32" spans="3:16" s="60" customFormat="1" ht="12.75" x14ac:dyDescent="0.2">
      <c r="C32" s="9"/>
      <c r="D32" s="10" t="s">
        <v>38</v>
      </c>
      <c r="E32" s="14" t="s">
        <v>9</v>
      </c>
      <c r="F32" s="12" t="s">
        <v>39</v>
      </c>
      <c r="G32" s="13">
        <f t="shared" si="0"/>
        <v>873.23400000000038</v>
      </c>
      <c r="H32" s="15"/>
      <c r="I32" s="15"/>
      <c r="J32" s="31"/>
      <c r="K32" s="15">
        <f>J24+J29+J17-J49-J35</f>
        <v>873.23400000000038</v>
      </c>
      <c r="L32" s="61"/>
      <c r="M32" s="49"/>
      <c r="P32" s="67">
        <v>80</v>
      </c>
    </row>
    <row r="33" spans="3:16" s="60" customFormat="1" ht="12.75" x14ac:dyDescent="0.2">
      <c r="C33" s="9"/>
      <c r="D33" s="10" t="s">
        <v>40</v>
      </c>
      <c r="E33" s="14" t="s">
        <v>41</v>
      </c>
      <c r="F33" s="12" t="s">
        <v>42</v>
      </c>
      <c r="G33" s="13">
        <f t="shared" si="0"/>
        <v>0</v>
      </c>
      <c r="H33" s="15"/>
      <c r="I33" s="15"/>
      <c r="J33" s="15"/>
      <c r="K33" s="31"/>
      <c r="L33" s="61"/>
      <c r="M33" s="49"/>
      <c r="P33" s="67">
        <v>90</v>
      </c>
    </row>
    <row r="34" spans="3:16" s="60" customFormat="1" ht="12.75" x14ac:dyDescent="0.2">
      <c r="C34" s="9"/>
      <c r="D34" s="10" t="s">
        <v>43</v>
      </c>
      <c r="E34" s="32" t="s">
        <v>44</v>
      </c>
      <c r="F34" s="12" t="s">
        <v>45</v>
      </c>
      <c r="G34" s="13">
        <f t="shared" si="0"/>
        <v>0</v>
      </c>
      <c r="H34" s="15"/>
      <c r="I34" s="15"/>
      <c r="J34" s="15"/>
      <c r="K34" s="15"/>
      <c r="L34" s="61"/>
      <c r="M34" s="49"/>
      <c r="P34" s="67"/>
    </row>
    <row r="35" spans="3:16" s="60" customFormat="1" ht="12.75" x14ac:dyDescent="0.2">
      <c r="C35" s="9"/>
      <c r="D35" s="10" t="s">
        <v>46</v>
      </c>
      <c r="E35" s="11" t="s">
        <v>47</v>
      </c>
      <c r="F35" s="33" t="s">
        <v>48</v>
      </c>
      <c r="G35" s="13">
        <f t="shared" si="0"/>
        <v>5374.3439999999991</v>
      </c>
      <c r="H35" s="13">
        <f>H36+H38+H41+H45</f>
        <v>0</v>
      </c>
      <c r="I35" s="13">
        <f>I36+I38+I41+I45</f>
        <v>3240.893</v>
      </c>
      <c r="J35" s="13">
        <f>J36+J38+J41+J45</f>
        <v>1342.489</v>
      </c>
      <c r="K35" s="13">
        <f>K36+K38+K41+K45</f>
        <v>790.96199999999999</v>
      </c>
      <c r="L35" s="61"/>
      <c r="M35" s="49"/>
      <c r="P35" s="67">
        <v>100</v>
      </c>
    </row>
    <row r="36" spans="3:16" s="60" customFormat="1" ht="22.5" x14ac:dyDescent="0.2">
      <c r="C36" s="9"/>
      <c r="D36" s="10" t="s">
        <v>49</v>
      </c>
      <c r="E36" s="14" t="s">
        <v>50</v>
      </c>
      <c r="F36" s="12" t="s">
        <v>51</v>
      </c>
      <c r="G36" s="13">
        <f t="shared" si="0"/>
        <v>0</v>
      </c>
      <c r="H36" s="15"/>
      <c r="I36" s="15"/>
      <c r="J36" s="15"/>
      <c r="K36" s="15"/>
      <c r="L36" s="61"/>
      <c r="M36" s="49"/>
      <c r="P36" s="67"/>
    </row>
    <row r="37" spans="3:16" s="60" customFormat="1" ht="12.75" x14ac:dyDescent="0.2">
      <c r="C37" s="9"/>
      <c r="D37" s="10" t="s">
        <v>52</v>
      </c>
      <c r="E37" s="34" t="s">
        <v>53</v>
      </c>
      <c r="F37" s="12" t="s">
        <v>54</v>
      </c>
      <c r="G37" s="13">
        <f t="shared" si="0"/>
        <v>0</v>
      </c>
      <c r="H37" s="15"/>
      <c r="I37" s="15"/>
      <c r="J37" s="15"/>
      <c r="K37" s="15"/>
      <c r="L37" s="61"/>
      <c r="M37" s="49"/>
      <c r="P37" s="67"/>
    </row>
    <row r="38" spans="3:16" s="60" customFormat="1" ht="12.75" x14ac:dyDescent="0.2">
      <c r="C38" s="9"/>
      <c r="D38" s="10" t="s">
        <v>55</v>
      </c>
      <c r="E38" s="14" t="s">
        <v>56</v>
      </c>
      <c r="F38" s="12" t="s">
        <v>57</v>
      </c>
      <c r="G38" s="13">
        <f t="shared" si="0"/>
        <v>2803.71</v>
      </c>
      <c r="H38" s="15">
        <v>0</v>
      </c>
      <c r="I38" s="15">
        <f>3240.893-I43</f>
        <v>670.25900000000001</v>
      </c>
      <c r="J38" s="15">
        <v>1342.489</v>
      </c>
      <c r="K38" s="15">
        <v>790.96199999999999</v>
      </c>
      <c r="L38" s="61"/>
      <c r="M38" s="49"/>
      <c r="P38" s="67"/>
    </row>
    <row r="39" spans="3:16" s="60" customFormat="1" ht="12.75" x14ac:dyDescent="0.2">
      <c r="C39" s="9"/>
      <c r="D39" s="10" t="s">
        <v>58</v>
      </c>
      <c r="E39" s="34" t="s">
        <v>59</v>
      </c>
      <c r="F39" s="12" t="s">
        <v>60</v>
      </c>
      <c r="G39" s="13">
        <f t="shared" si="0"/>
        <v>0</v>
      </c>
      <c r="H39" s="15"/>
      <c r="I39" s="15"/>
      <c r="J39" s="15"/>
      <c r="K39" s="15"/>
      <c r="L39" s="61"/>
      <c r="M39" s="49"/>
      <c r="P39" s="67"/>
    </row>
    <row r="40" spans="3:16" s="60" customFormat="1" ht="12.75" x14ac:dyDescent="0.2">
      <c r="C40" s="9"/>
      <c r="D40" s="10" t="s">
        <v>61</v>
      </c>
      <c r="E40" s="35" t="s">
        <v>53</v>
      </c>
      <c r="F40" s="12" t="s">
        <v>62</v>
      </c>
      <c r="G40" s="13">
        <f t="shared" si="0"/>
        <v>0</v>
      </c>
      <c r="H40" s="15"/>
      <c r="I40" s="15"/>
      <c r="J40" s="15"/>
      <c r="K40" s="15"/>
      <c r="L40" s="61"/>
      <c r="M40" s="49"/>
      <c r="P40" s="67"/>
    </row>
    <row r="41" spans="3:16" s="60" customFormat="1" ht="12.75" x14ac:dyDescent="0.2">
      <c r="C41" s="9"/>
      <c r="D41" s="10" t="s">
        <v>63</v>
      </c>
      <c r="E41" s="14" t="s">
        <v>64</v>
      </c>
      <c r="F41" s="12" t="s">
        <v>65</v>
      </c>
      <c r="G41" s="13">
        <f t="shared" si="0"/>
        <v>2570.634</v>
      </c>
      <c r="H41" s="13">
        <f>SUM(H42:H44)</f>
        <v>0</v>
      </c>
      <c r="I41" s="13">
        <f>SUM(I42:I44)</f>
        <v>2570.634</v>
      </c>
      <c r="J41" s="13">
        <f>SUM(J42:J44)</f>
        <v>0</v>
      </c>
      <c r="K41" s="13">
        <f>SUM(K42:K44)</f>
        <v>0</v>
      </c>
      <c r="L41" s="61"/>
      <c r="M41" s="49"/>
      <c r="P41" s="67"/>
    </row>
    <row r="42" spans="3:16" s="60" customFormat="1" ht="12.75" x14ac:dyDescent="0.2">
      <c r="C42" s="9"/>
      <c r="D42" s="16" t="s">
        <v>66</v>
      </c>
      <c r="E42" s="17"/>
      <c r="F42" s="18" t="s">
        <v>65</v>
      </c>
      <c r="G42" s="19"/>
      <c r="H42" s="19"/>
      <c r="I42" s="19"/>
      <c r="J42" s="19"/>
      <c r="K42" s="19"/>
      <c r="L42" s="61"/>
      <c r="M42" s="49"/>
      <c r="P42" s="67"/>
    </row>
    <row r="43" spans="3:16" s="60" customFormat="1" ht="15" x14ac:dyDescent="0.25">
      <c r="C43" s="24" t="s">
        <v>29</v>
      </c>
      <c r="D43" s="25" t="s">
        <v>67</v>
      </c>
      <c r="E43" s="26" t="s">
        <v>68</v>
      </c>
      <c r="F43" s="27">
        <v>751</v>
      </c>
      <c r="G43" s="28">
        <f>SUM(H43:K43)</f>
        <v>2570.634</v>
      </c>
      <c r="H43" s="29"/>
      <c r="I43" s="29">
        <v>2570.634</v>
      </c>
      <c r="J43" s="29"/>
      <c r="K43" s="30"/>
      <c r="L43" s="61"/>
      <c r="M43" s="69" t="s">
        <v>330</v>
      </c>
      <c r="N43" s="70" t="s">
        <v>331</v>
      </c>
      <c r="O43" s="70" t="s">
        <v>332</v>
      </c>
    </row>
    <row r="44" spans="3:16" s="60" customFormat="1" ht="12.75" x14ac:dyDescent="0.2">
      <c r="C44" s="9"/>
      <c r="D44" s="36"/>
      <c r="E44" s="21" t="s">
        <v>20</v>
      </c>
      <c r="F44" s="22"/>
      <c r="G44" s="22"/>
      <c r="H44" s="22"/>
      <c r="I44" s="22"/>
      <c r="J44" s="22"/>
      <c r="K44" s="23"/>
      <c r="L44" s="61"/>
      <c r="M44" s="49"/>
      <c r="P44" s="67"/>
    </row>
    <row r="45" spans="3:16" s="60" customFormat="1" ht="12.75" x14ac:dyDescent="0.2">
      <c r="C45" s="9"/>
      <c r="D45" s="10" t="s">
        <v>69</v>
      </c>
      <c r="E45" s="37" t="s">
        <v>70</v>
      </c>
      <c r="F45" s="12" t="s">
        <v>71</v>
      </c>
      <c r="G45" s="13">
        <f t="shared" si="0"/>
        <v>0</v>
      </c>
      <c r="H45" s="15"/>
      <c r="I45" s="15"/>
      <c r="J45" s="15"/>
      <c r="K45" s="15"/>
      <c r="L45" s="61"/>
      <c r="M45" s="49"/>
      <c r="P45" s="67">
        <v>120</v>
      </c>
    </row>
    <row r="46" spans="3:16" s="60" customFormat="1" ht="12.75" x14ac:dyDescent="0.2">
      <c r="C46" s="9"/>
      <c r="D46" s="10" t="s">
        <v>72</v>
      </c>
      <c r="E46" s="11" t="s">
        <v>73</v>
      </c>
      <c r="F46" s="12" t="s">
        <v>74</v>
      </c>
      <c r="G46" s="13">
        <f t="shared" si="0"/>
        <v>2503.170000000001</v>
      </c>
      <c r="H46" s="15">
        <f>H26-H49-H35</f>
        <v>778.01400000000001</v>
      </c>
      <c r="I46" s="15">
        <f>I15-I35-I49</f>
        <v>851.92200000000025</v>
      </c>
      <c r="J46" s="15">
        <f>J24+J29+J17-J35-J49</f>
        <v>873.23400000000026</v>
      </c>
      <c r="K46" s="15">
        <f>K32-K35-K49</f>
        <v>3.836930773104541E-13</v>
      </c>
      <c r="L46" s="61"/>
      <c r="M46" s="49"/>
      <c r="P46" s="67">
        <v>150</v>
      </c>
    </row>
    <row r="47" spans="3:16" s="60" customFormat="1" ht="12.75" x14ac:dyDescent="0.2">
      <c r="C47" s="9"/>
      <c r="D47" s="10" t="s">
        <v>75</v>
      </c>
      <c r="E47" s="11" t="s">
        <v>76</v>
      </c>
      <c r="F47" s="12" t="s">
        <v>77</v>
      </c>
      <c r="G47" s="13">
        <f t="shared" si="0"/>
        <v>0</v>
      </c>
      <c r="H47" s="15"/>
      <c r="I47" s="15"/>
      <c r="J47" s="15"/>
      <c r="K47" s="15"/>
      <c r="L47" s="61"/>
      <c r="M47" s="49"/>
      <c r="P47" s="67">
        <v>160</v>
      </c>
    </row>
    <row r="48" spans="3:16" s="60" customFormat="1" ht="12.75" x14ac:dyDescent="0.2">
      <c r="C48" s="9"/>
      <c r="D48" s="10" t="s">
        <v>78</v>
      </c>
      <c r="E48" s="11" t="s">
        <v>79</v>
      </c>
      <c r="F48" s="12" t="s">
        <v>80</v>
      </c>
      <c r="G48" s="13">
        <f t="shared" si="0"/>
        <v>0</v>
      </c>
      <c r="H48" s="15"/>
      <c r="I48" s="15"/>
      <c r="J48" s="15"/>
      <c r="K48" s="15"/>
      <c r="L48" s="61"/>
      <c r="M48" s="49"/>
      <c r="P48" s="67">
        <v>180</v>
      </c>
    </row>
    <row r="49" spans="3:16" s="60" customFormat="1" ht="12.75" x14ac:dyDescent="0.2">
      <c r="C49" s="9"/>
      <c r="D49" s="10" t="s">
        <v>81</v>
      </c>
      <c r="E49" s="11" t="s">
        <v>82</v>
      </c>
      <c r="F49" s="12" t="s">
        <v>83</v>
      </c>
      <c r="G49" s="13">
        <f t="shared" si="0"/>
        <v>179.58600000000001</v>
      </c>
      <c r="H49" s="15">
        <v>1.9E-2</v>
      </c>
      <c r="I49" s="15">
        <v>51.28</v>
      </c>
      <c r="J49" s="15">
        <v>46.015000000000001</v>
      </c>
      <c r="K49" s="15">
        <v>82.272000000000006</v>
      </c>
      <c r="L49" s="61"/>
      <c r="M49" s="49"/>
      <c r="P49" s="67">
        <v>190</v>
      </c>
    </row>
    <row r="50" spans="3:16" s="60" customFormat="1" ht="12.75" x14ac:dyDescent="0.2">
      <c r="C50" s="9"/>
      <c r="D50" s="10" t="s">
        <v>84</v>
      </c>
      <c r="E50" s="14" t="s">
        <v>85</v>
      </c>
      <c r="F50" s="12" t="s">
        <v>86</v>
      </c>
      <c r="G50" s="13">
        <f t="shared" si="0"/>
        <v>0</v>
      </c>
      <c r="H50" s="15"/>
      <c r="I50" s="15"/>
      <c r="J50" s="15"/>
      <c r="K50" s="15"/>
      <c r="L50" s="61"/>
      <c r="M50" s="49"/>
      <c r="P50" s="67">
        <v>200</v>
      </c>
    </row>
    <row r="51" spans="3:16" s="60" customFormat="1" ht="22.5" x14ac:dyDescent="0.2">
      <c r="C51" s="9"/>
      <c r="D51" s="10" t="s">
        <v>87</v>
      </c>
      <c r="E51" s="11" t="s">
        <v>88</v>
      </c>
      <c r="F51" s="12" t="s">
        <v>89</v>
      </c>
      <c r="G51" s="13">
        <f t="shared" si="0"/>
        <v>137.39400000000001</v>
      </c>
      <c r="H51" s="15"/>
      <c r="I51" s="15">
        <f>137.394*0.2468</f>
        <v>33.908839200000003</v>
      </c>
      <c r="J51" s="15">
        <f>137.394*0.3291</f>
        <v>45.216365400000001</v>
      </c>
      <c r="K51" s="15">
        <f>137.394*0.4241</f>
        <v>58.268795400000002</v>
      </c>
      <c r="L51" s="61"/>
      <c r="M51" s="49"/>
      <c r="P51" s="68"/>
    </row>
    <row r="52" spans="3:16" s="60" customFormat="1" ht="33.75" x14ac:dyDescent="0.2">
      <c r="C52" s="9"/>
      <c r="D52" s="10" t="s">
        <v>90</v>
      </c>
      <c r="E52" s="32" t="s">
        <v>91</v>
      </c>
      <c r="F52" s="12" t="s">
        <v>92</v>
      </c>
      <c r="G52" s="13">
        <f t="shared" si="0"/>
        <v>42.192</v>
      </c>
      <c r="H52" s="13">
        <f>H49-H51</f>
        <v>1.9E-2</v>
      </c>
      <c r="I52" s="13">
        <f>I49-I51</f>
        <v>17.371160799999998</v>
      </c>
      <c r="J52" s="13">
        <f>J49-J51</f>
        <v>0.79863459999999975</v>
      </c>
      <c r="K52" s="13">
        <f>K49-K51</f>
        <v>24.003204600000004</v>
      </c>
      <c r="L52" s="61"/>
      <c r="M52" s="49"/>
      <c r="P52" s="68"/>
    </row>
    <row r="53" spans="3:16" s="60" customFormat="1" ht="12.75" x14ac:dyDescent="0.2">
      <c r="C53" s="9"/>
      <c r="D53" s="10" t="s">
        <v>93</v>
      </c>
      <c r="E53" s="11" t="s">
        <v>94</v>
      </c>
      <c r="F53" s="12" t="s">
        <v>95</v>
      </c>
      <c r="G53" s="13">
        <f t="shared" si="0"/>
        <v>0</v>
      </c>
      <c r="H53" s="13">
        <f>(H15+H29+H34)-(H35+H46+H47+H48+H49)</f>
        <v>0</v>
      </c>
      <c r="I53" s="13">
        <f>(I15+I29+I34)-(I35+I46+I47+I48+I49)</f>
        <v>0</v>
      </c>
      <c r="J53" s="13">
        <f>(J15+J29+J34)-(J35+J46+J47+J48+J49)</f>
        <v>0</v>
      </c>
      <c r="K53" s="13">
        <f>(K15+K29+K34)-(K35+K46+K47+K48+K49)</f>
        <v>0</v>
      </c>
      <c r="L53" s="61"/>
      <c r="M53" s="49"/>
      <c r="P53" s="67">
        <v>210</v>
      </c>
    </row>
    <row r="54" spans="3:16" s="60" customFormat="1" ht="12.75" x14ac:dyDescent="0.2">
      <c r="C54" s="9"/>
      <c r="D54" s="99" t="s">
        <v>96</v>
      </c>
      <c r="E54" s="100"/>
      <c r="F54" s="100"/>
      <c r="G54" s="100"/>
      <c r="H54" s="100"/>
      <c r="I54" s="100"/>
      <c r="J54" s="100"/>
      <c r="K54" s="101"/>
      <c r="L54" s="61"/>
      <c r="M54" s="49"/>
      <c r="P54" s="68"/>
    </row>
    <row r="55" spans="3:16" s="60" customFormat="1" ht="12.75" x14ac:dyDescent="0.2">
      <c r="C55" s="9"/>
      <c r="D55" s="10" t="s">
        <v>97</v>
      </c>
      <c r="E55" s="11" t="s">
        <v>13</v>
      </c>
      <c r="F55" s="12" t="s">
        <v>98</v>
      </c>
      <c r="G55" s="13">
        <f t="shared" si="0"/>
        <v>7.7137916666666673</v>
      </c>
      <c r="H55" s="13">
        <f>H56+H57+H61+H64</f>
        <v>1.080601388888889</v>
      </c>
      <c r="I55" s="13">
        <f>I56+I57+I61+I64</f>
        <v>5.7556875000000005</v>
      </c>
      <c r="J55" s="13">
        <f>J56+J57+J61+J64</f>
        <v>0.87750277777777774</v>
      </c>
      <c r="K55" s="13">
        <f>K56+K57+K61+K64</f>
        <v>0</v>
      </c>
      <c r="L55" s="61"/>
      <c r="M55" s="49"/>
      <c r="P55" s="67">
        <v>300</v>
      </c>
    </row>
    <row r="56" spans="3:16" s="60" customFormat="1" ht="12.75" x14ac:dyDescent="0.2">
      <c r="C56" s="9"/>
      <c r="D56" s="10" t="s">
        <v>99</v>
      </c>
      <c r="E56" s="14" t="s">
        <v>15</v>
      </c>
      <c r="F56" s="12" t="s">
        <v>100</v>
      </c>
      <c r="G56" s="13">
        <f t="shared" si="0"/>
        <v>0</v>
      </c>
      <c r="H56" s="15"/>
      <c r="I56" s="15"/>
      <c r="J56" s="15"/>
      <c r="K56" s="15"/>
      <c r="L56" s="61"/>
      <c r="M56" s="49"/>
      <c r="P56" s="67">
        <v>310</v>
      </c>
    </row>
    <row r="57" spans="3:16" s="60" customFormat="1" ht="12.75" x14ac:dyDescent="0.2">
      <c r="C57" s="9"/>
      <c r="D57" s="10" t="s">
        <v>101</v>
      </c>
      <c r="E57" s="14" t="s">
        <v>17</v>
      </c>
      <c r="F57" s="12" t="s">
        <v>102</v>
      </c>
      <c r="G57" s="13">
        <f t="shared" si="0"/>
        <v>3.0277777777777779E-4</v>
      </c>
      <c r="H57" s="13">
        <f>SUM(H58:H60)</f>
        <v>0</v>
      </c>
      <c r="I57" s="13">
        <f>SUM(I58:I60)</f>
        <v>0</v>
      </c>
      <c r="J57" s="13">
        <f>SUM(J58:J60)</f>
        <v>3.0277777777777779E-4</v>
      </c>
      <c r="K57" s="13">
        <f>SUM(K58:K60)</f>
        <v>0</v>
      </c>
      <c r="L57" s="61"/>
      <c r="M57" s="49"/>
      <c r="P57" s="67">
        <v>320</v>
      </c>
    </row>
    <row r="58" spans="3:16" s="60" customFormat="1" ht="12.75" x14ac:dyDescent="0.2">
      <c r="C58" s="9"/>
      <c r="D58" s="16" t="s">
        <v>103</v>
      </c>
      <c r="E58" s="17"/>
      <c r="F58" s="18" t="s">
        <v>102</v>
      </c>
      <c r="G58" s="19"/>
      <c r="H58" s="19"/>
      <c r="I58" s="19"/>
      <c r="J58" s="19"/>
      <c r="K58" s="19"/>
      <c r="L58" s="61"/>
      <c r="M58" s="49"/>
      <c r="P58" s="67"/>
    </row>
    <row r="59" spans="3:16" s="60" customFormat="1" ht="15" x14ac:dyDescent="0.25">
      <c r="C59" s="24" t="s">
        <v>29</v>
      </c>
      <c r="D59" s="25" t="s">
        <v>341</v>
      </c>
      <c r="E59" s="26" t="s">
        <v>337</v>
      </c>
      <c r="F59" s="27">
        <v>1061</v>
      </c>
      <c r="G59" s="28">
        <f>SUM(H59:K59)</f>
        <v>3.0277777777777779E-4</v>
      </c>
      <c r="H59" s="29"/>
      <c r="I59" s="29"/>
      <c r="J59" s="29">
        <f>J19/720</f>
        <v>3.0277777777777779E-4</v>
      </c>
      <c r="K59" s="30"/>
      <c r="L59" s="61"/>
      <c r="M59" s="69" t="s">
        <v>338</v>
      </c>
      <c r="N59" s="70" t="s">
        <v>339</v>
      </c>
      <c r="O59" s="70" t="s">
        <v>340</v>
      </c>
    </row>
    <row r="60" spans="3:16" s="60" customFormat="1" ht="12.75" x14ac:dyDescent="0.2">
      <c r="C60" s="9"/>
      <c r="D60" s="20"/>
      <c r="E60" s="21" t="s">
        <v>20</v>
      </c>
      <c r="F60" s="22"/>
      <c r="G60" s="22"/>
      <c r="H60" s="22"/>
      <c r="I60" s="22"/>
      <c r="J60" s="22"/>
      <c r="K60" s="23"/>
      <c r="L60" s="61"/>
      <c r="M60" s="49"/>
      <c r="P60" s="67"/>
    </row>
    <row r="61" spans="3:16" s="60" customFormat="1" ht="12.75" x14ac:dyDescent="0.2">
      <c r="C61" s="9"/>
      <c r="D61" s="10" t="s">
        <v>104</v>
      </c>
      <c r="E61" s="14" t="s">
        <v>22</v>
      </c>
      <c r="F61" s="12" t="s">
        <v>105</v>
      </c>
      <c r="G61" s="13">
        <f t="shared" si="0"/>
        <v>0</v>
      </c>
      <c r="H61" s="13">
        <f>SUM(H62:H63)</f>
        <v>0</v>
      </c>
      <c r="I61" s="13">
        <f>SUM(I62:I63)</f>
        <v>0</v>
      </c>
      <c r="J61" s="13">
        <f>SUM(J62:J63)</f>
        <v>0</v>
      </c>
      <c r="K61" s="13">
        <f>SUM(K62:K63)</f>
        <v>0</v>
      </c>
      <c r="L61" s="61"/>
      <c r="M61" s="49"/>
      <c r="P61" s="67"/>
    </row>
    <row r="62" spans="3:16" s="60" customFormat="1" ht="12.75" x14ac:dyDescent="0.2">
      <c r="C62" s="9"/>
      <c r="D62" s="16" t="s">
        <v>106</v>
      </c>
      <c r="E62" s="17"/>
      <c r="F62" s="18" t="s">
        <v>105</v>
      </c>
      <c r="G62" s="19"/>
      <c r="H62" s="19"/>
      <c r="I62" s="19"/>
      <c r="J62" s="19"/>
      <c r="K62" s="19"/>
      <c r="L62" s="61"/>
      <c r="M62" s="49"/>
      <c r="P62" s="67"/>
    </row>
    <row r="63" spans="3:16" s="60" customFormat="1" ht="12.75" x14ac:dyDescent="0.2">
      <c r="C63" s="9"/>
      <c r="D63" s="20"/>
      <c r="E63" s="21" t="s">
        <v>20</v>
      </c>
      <c r="F63" s="22"/>
      <c r="G63" s="22"/>
      <c r="H63" s="22"/>
      <c r="I63" s="22"/>
      <c r="J63" s="22"/>
      <c r="K63" s="23"/>
      <c r="L63" s="61"/>
      <c r="M63" s="49"/>
      <c r="P63" s="67"/>
    </row>
    <row r="64" spans="3:16" s="60" customFormat="1" ht="12.75" x14ac:dyDescent="0.2">
      <c r="C64" s="9"/>
      <c r="D64" s="10" t="s">
        <v>107</v>
      </c>
      <c r="E64" s="14" t="s">
        <v>26</v>
      </c>
      <c r="F64" s="12" t="s">
        <v>108</v>
      </c>
      <c r="G64" s="13">
        <f t="shared" si="0"/>
        <v>7.7134888888888895</v>
      </c>
      <c r="H64" s="13">
        <f>SUM(H65:H68)</f>
        <v>1.080601388888889</v>
      </c>
      <c r="I64" s="13">
        <f>SUM(I65:I68)</f>
        <v>5.7556875000000005</v>
      </c>
      <c r="J64" s="13">
        <f>SUM(J65:J68)</f>
        <v>0.87719999999999998</v>
      </c>
      <c r="K64" s="13">
        <f>SUM(K65:K68)</f>
        <v>0</v>
      </c>
      <c r="L64" s="61"/>
      <c r="M64" s="49"/>
      <c r="P64" s="67">
        <v>330</v>
      </c>
    </row>
    <row r="65" spans="3:16" s="60" customFormat="1" ht="12.75" x14ac:dyDescent="0.2">
      <c r="C65" s="9"/>
      <c r="D65" s="16" t="s">
        <v>109</v>
      </c>
      <c r="E65" s="17"/>
      <c r="F65" s="18" t="s">
        <v>108</v>
      </c>
      <c r="G65" s="19"/>
      <c r="H65" s="19"/>
      <c r="I65" s="19"/>
      <c r="J65" s="19"/>
      <c r="K65" s="19"/>
      <c r="L65" s="61"/>
      <c r="M65" s="49"/>
      <c r="P65" s="67"/>
    </row>
    <row r="66" spans="3:16" s="60" customFormat="1" ht="15" x14ac:dyDescent="0.25">
      <c r="C66" s="24" t="s">
        <v>29</v>
      </c>
      <c r="D66" s="25" t="s">
        <v>110</v>
      </c>
      <c r="E66" s="26" t="s">
        <v>344</v>
      </c>
      <c r="F66" s="27">
        <v>1461</v>
      </c>
      <c r="G66" s="28">
        <f>SUM(H66:K66)</f>
        <v>7.3116888888888889</v>
      </c>
      <c r="H66" s="29">
        <f>H26/720</f>
        <v>1.080601388888889</v>
      </c>
      <c r="I66" s="29">
        <f>I26/720</f>
        <v>5.7556875000000005</v>
      </c>
      <c r="J66" s="29">
        <f>J26/720</f>
        <v>0.47539999999999999</v>
      </c>
      <c r="K66" s="29"/>
      <c r="L66" s="61"/>
      <c r="M66" s="69" t="s">
        <v>327</v>
      </c>
      <c r="N66" s="70" t="s">
        <v>328</v>
      </c>
      <c r="O66" s="70" t="s">
        <v>329</v>
      </c>
    </row>
    <row r="67" spans="3:16" s="60" customFormat="1" ht="15" x14ac:dyDescent="0.25">
      <c r="C67" s="24" t="s">
        <v>29</v>
      </c>
      <c r="D67" s="25" t="s">
        <v>343</v>
      </c>
      <c r="E67" s="26" t="s">
        <v>68</v>
      </c>
      <c r="F67" s="27">
        <v>1462</v>
      </c>
      <c r="G67" s="28">
        <f>SUM(H67:K67)</f>
        <v>0.40179999999999999</v>
      </c>
      <c r="H67" s="29"/>
      <c r="I67" s="29"/>
      <c r="J67" s="29">
        <f>J27/720</f>
        <v>0.40179999999999999</v>
      </c>
      <c r="K67" s="30"/>
      <c r="L67" s="61"/>
      <c r="M67" s="69" t="s">
        <v>330</v>
      </c>
      <c r="N67" s="70" t="s">
        <v>328</v>
      </c>
      <c r="O67" s="70" t="s">
        <v>332</v>
      </c>
    </row>
    <row r="68" spans="3:16" s="60" customFormat="1" ht="12.75" x14ac:dyDescent="0.2">
      <c r="C68" s="9"/>
      <c r="D68" s="20"/>
      <c r="E68" s="21" t="s">
        <v>20</v>
      </c>
      <c r="F68" s="22"/>
      <c r="G68" s="22"/>
      <c r="H68" s="22"/>
      <c r="I68" s="22"/>
      <c r="J68" s="22"/>
      <c r="K68" s="23"/>
      <c r="L68" s="61"/>
      <c r="M68" s="49"/>
      <c r="P68" s="67"/>
    </row>
    <row r="69" spans="3:16" s="60" customFormat="1" ht="12.75" x14ac:dyDescent="0.2">
      <c r="C69" s="9"/>
      <c r="D69" s="10" t="s">
        <v>111</v>
      </c>
      <c r="E69" s="11" t="s">
        <v>32</v>
      </c>
      <c r="F69" s="12" t="s">
        <v>112</v>
      </c>
      <c r="G69" s="13">
        <f t="shared" si="0"/>
        <v>3.4766250000000012</v>
      </c>
      <c r="H69" s="13">
        <f>H71+H72+H73</f>
        <v>0</v>
      </c>
      <c r="I69" s="13">
        <f>I70+I72+I73</f>
        <v>0</v>
      </c>
      <c r="J69" s="13">
        <f>J70+J71+J73</f>
        <v>2.2638000000000007</v>
      </c>
      <c r="K69" s="13">
        <f>K70+K71+K72</f>
        <v>1.2128250000000005</v>
      </c>
      <c r="L69" s="61"/>
      <c r="M69" s="49"/>
      <c r="P69" s="67">
        <v>340</v>
      </c>
    </row>
    <row r="70" spans="3:16" s="60" customFormat="1" ht="12.75" x14ac:dyDescent="0.2">
      <c r="C70" s="9"/>
      <c r="D70" s="10" t="s">
        <v>113</v>
      </c>
      <c r="E70" s="14" t="s">
        <v>7</v>
      </c>
      <c r="F70" s="12" t="s">
        <v>114</v>
      </c>
      <c r="G70" s="13">
        <f t="shared" si="0"/>
        <v>1.0805750000000001</v>
      </c>
      <c r="H70" s="31"/>
      <c r="I70" s="15"/>
      <c r="J70" s="15">
        <f>J30/720</f>
        <v>1.0805750000000001</v>
      </c>
      <c r="K70" s="15"/>
      <c r="L70" s="61"/>
      <c r="M70" s="49"/>
      <c r="P70" s="67">
        <v>350</v>
      </c>
    </row>
    <row r="71" spans="3:16" s="60" customFormat="1" ht="12.75" x14ac:dyDescent="0.2">
      <c r="C71" s="9"/>
      <c r="D71" s="10" t="s">
        <v>115</v>
      </c>
      <c r="E71" s="14" t="s">
        <v>8</v>
      </c>
      <c r="F71" s="12" t="s">
        <v>116</v>
      </c>
      <c r="G71" s="13">
        <f t="shared" si="0"/>
        <v>1.1832250000000004</v>
      </c>
      <c r="H71" s="15"/>
      <c r="I71" s="38"/>
      <c r="J71" s="15">
        <f>J31/720</f>
        <v>1.1832250000000004</v>
      </c>
      <c r="K71" s="15"/>
      <c r="L71" s="61"/>
      <c r="M71" s="49"/>
      <c r="P71" s="67">
        <v>360</v>
      </c>
    </row>
    <row r="72" spans="3:16" s="60" customFormat="1" ht="12.75" x14ac:dyDescent="0.2">
      <c r="C72" s="9"/>
      <c r="D72" s="10" t="s">
        <v>117</v>
      </c>
      <c r="E72" s="14" t="s">
        <v>9</v>
      </c>
      <c r="F72" s="12" t="s">
        <v>118</v>
      </c>
      <c r="G72" s="13">
        <f t="shared" si="0"/>
        <v>1.2128250000000005</v>
      </c>
      <c r="H72" s="15"/>
      <c r="I72" s="15"/>
      <c r="J72" s="31"/>
      <c r="K72" s="15">
        <f>K32/720</f>
        <v>1.2128250000000005</v>
      </c>
      <c r="L72" s="61"/>
      <c r="M72" s="49"/>
      <c r="P72" s="67">
        <v>370</v>
      </c>
    </row>
    <row r="73" spans="3:16" s="60" customFormat="1" ht="12.75" x14ac:dyDescent="0.2">
      <c r="C73" s="9"/>
      <c r="D73" s="10" t="s">
        <v>119</v>
      </c>
      <c r="E73" s="14" t="s">
        <v>41</v>
      </c>
      <c r="F73" s="12" t="s">
        <v>120</v>
      </c>
      <c r="G73" s="13">
        <f t="shared" si="0"/>
        <v>0</v>
      </c>
      <c r="H73" s="15"/>
      <c r="I73" s="15"/>
      <c r="J73" s="15"/>
      <c r="K73" s="31"/>
      <c r="L73" s="61"/>
      <c r="M73" s="49"/>
      <c r="P73" s="67">
        <v>380</v>
      </c>
    </row>
    <row r="74" spans="3:16" s="60" customFormat="1" ht="12.75" x14ac:dyDescent="0.2">
      <c r="C74" s="9"/>
      <c r="D74" s="10" t="s">
        <v>121</v>
      </c>
      <c r="E74" s="32" t="s">
        <v>44</v>
      </c>
      <c r="F74" s="12" t="s">
        <v>122</v>
      </c>
      <c r="G74" s="13">
        <f t="shared" si="0"/>
        <v>0</v>
      </c>
      <c r="H74" s="15"/>
      <c r="I74" s="15"/>
      <c r="J74" s="15"/>
      <c r="K74" s="15"/>
      <c r="L74" s="61"/>
      <c r="M74" s="49"/>
      <c r="P74" s="67"/>
    </row>
    <row r="75" spans="3:16" s="60" customFormat="1" ht="12.75" x14ac:dyDescent="0.2">
      <c r="C75" s="9"/>
      <c r="D75" s="10" t="s">
        <v>123</v>
      </c>
      <c r="E75" s="11" t="s">
        <v>47</v>
      </c>
      <c r="F75" s="33" t="s">
        <v>124</v>
      </c>
      <c r="G75" s="13">
        <f t="shared" si="0"/>
        <v>7.4643666666666668</v>
      </c>
      <c r="H75" s="13">
        <f>H76+H78+H81+H85</f>
        <v>0</v>
      </c>
      <c r="I75" s="13">
        <f>I76+I78+I81+I85</f>
        <v>4.5012402777777778</v>
      </c>
      <c r="J75" s="13">
        <f>J76+J78+J81+J85</f>
        <v>1.8645680555555555</v>
      </c>
      <c r="K75" s="13">
        <f>K76+K78+K81+K85</f>
        <v>1.0985583333333333</v>
      </c>
      <c r="L75" s="61"/>
      <c r="M75" s="49"/>
      <c r="P75" s="67">
        <v>390</v>
      </c>
    </row>
    <row r="76" spans="3:16" s="60" customFormat="1" ht="22.5" x14ac:dyDescent="0.2">
      <c r="C76" s="9"/>
      <c r="D76" s="10" t="s">
        <v>125</v>
      </c>
      <c r="E76" s="14" t="s">
        <v>50</v>
      </c>
      <c r="F76" s="12" t="s">
        <v>126</v>
      </c>
      <c r="G76" s="13">
        <f t="shared" si="0"/>
        <v>0</v>
      </c>
      <c r="H76" s="15"/>
      <c r="I76" s="15"/>
      <c r="J76" s="15"/>
      <c r="K76" s="15"/>
      <c r="L76" s="61"/>
      <c r="M76" s="49"/>
      <c r="P76" s="67"/>
    </row>
    <row r="77" spans="3:16" s="60" customFormat="1" ht="12.75" x14ac:dyDescent="0.2">
      <c r="C77" s="9"/>
      <c r="D77" s="10" t="s">
        <v>127</v>
      </c>
      <c r="E77" s="34" t="s">
        <v>53</v>
      </c>
      <c r="F77" s="12" t="s">
        <v>128</v>
      </c>
      <c r="G77" s="13">
        <f t="shared" si="0"/>
        <v>0</v>
      </c>
      <c r="H77" s="15"/>
      <c r="I77" s="15"/>
      <c r="J77" s="15"/>
      <c r="K77" s="15"/>
      <c r="L77" s="61"/>
      <c r="M77" s="49"/>
      <c r="P77" s="67"/>
    </row>
    <row r="78" spans="3:16" s="60" customFormat="1" ht="12.75" x14ac:dyDescent="0.2">
      <c r="C78" s="9"/>
      <c r="D78" s="10" t="s">
        <v>129</v>
      </c>
      <c r="E78" s="14" t="s">
        <v>56</v>
      </c>
      <c r="F78" s="12" t="s">
        <v>130</v>
      </c>
      <c r="G78" s="13">
        <f t="shared" si="0"/>
        <v>3.8940416666666664</v>
      </c>
      <c r="H78" s="15">
        <f>H38/720</f>
        <v>0</v>
      </c>
      <c r="I78" s="15">
        <f>I38/720</f>
        <v>0.93091527777777783</v>
      </c>
      <c r="J78" s="15">
        <f>J38/720</f>
        <v>1.8645680555555555</v>
      </c>
      <c r="K78" s="15">
        <f>K38/720</f>
        <v>1.0985583333333333</v>
      </c>
      <c r="L78" s="61"/>
      <c r="M78" s="49"/>
      <c r="P78" s="67"/>
    </row>
    <row r="79" spans="3:16" s="60" customFormat="1" ht="12.75" x14ac:dyDescent="0.2">
      <c r="C79" s="9"/>
      <c r="D79" s="10" t="s">
        <v>131</v>
      </c>
      <c r="E79" s="34" t="s">
        <v>59</v>
      </c>
      <c r="F79" s="12" t="s">
        <v>132</v>
      </c>
      <c r="G79" s="13">
        <f t="shared" si="0"/>
        <v>0</v>
      </c>
      <c r="H79" s="15"/>
      <c r="I79" s="15"/>
      <c r="J79" s="15"/>
      <c r="K79" s="15"/>
      <c r="L79" s="61"/>
      <c r="M79" s="49"/>
      <c r="P79" s="67"/>
    </row>
    <row r="80" spans="3:16" s="60" customFormat="1" ht="12.75" x14ac:dyDescent="0.2">
      <c r="C80" s="9"/>
      <c r="D80" s="10" t="s">
        <v>133</v>
      </c>
      <c r="E80" s="35" t="s">
        <v>53</v>
      </c>
      <c r="F80" s="12" t="s">
        <v>134</v>
      </c>
      <c r="G80" s="13">
        <f t="shared" si="0"/>
        <v>0</v>
      </c>
      <c r="H80" s="15"/>
      <c r="I80" s="15"/>
      <c r="J80" s="15"/>
      <c r="K80" s="15"/>
      <c r="L80" s="61"/>
      <c r="M80" s="49"/>
      <c r="P80" s="67"/>
    </row>
    <row r="81" spans="3:16" s="60" customFormat="1" ht="12.75" x14ac:dyDescent="0.2">
      <c r="C81" s="9"/>
      <c r="D81" s="10" t="s">
        <v>135</v>
      </c>
      <c r="E81" s="14" t="s">
        <v>64</v>
      </c>
      <c r="F81" s="12" t="s">
        <v>136</v>
      </c>
      <c r="G81" s="13">
        <f t="shared" si="0"/>
        <v>3.570325</v>
      </c>
      <c r="H81" s="13">
        <f>SUM(H82:H84)</f>
        <v>0</v>
      </c>
      <c r="I81" s="13">
        <f>SUM(I82:I84)</f>
        <v>3.570325</v>
      </c>
      <c r="J81" s="13">
        <f>SUM(J82:J84)</f>
        <v>0</v>
      </c>
      <c r="K81" s="13">
        <f>SUM(K82:K84)</f>
        <v>0</v>
      </c>
      <c r="L81" s="61"/>
      <c r="M81" s="49"/>
      <c r="P81" s="67"/>
    </row>
    <row r="82" spans="3:16" s="60" customFormat="1" ht="12.75" x14ac:dyDescent="0.2">
      <c r="C82" s="9"/>
      <c r="D82" s="16" t="s">
        <v>137</v>
      </c>
      <c r="E82" s="17"/>
      <c r="F82" s="18" t="s">
        <v>136</v>
      </c>
      <c r="G82" s="19"/>
      <c r="H82" s="19"/>
      <c r="I82" s="19"/>
      <c r="J82" s="19"/>
      <c r="K82" s="19"/>
      <c r="L82" s="61"/>
      <c r="M82" s="49"/>
      <c r="P82" s="67"/>
    </row>
    <row r="83" spans="3:16" s="60" customFormat="1" ht="15" x14ac:dyDescent="0.25">
      <c r="C83" s="24" t="s">
        <v>29</v>
      </c>
      <c r="D83" s="25" t="s">
        <v>138</v>
      </c>
      <c r="E83" s="26" t="s">
        <v>68</v>
      </c>
      <c r="F83" s="27">
        <v>1781</v>
      </c>
      <c r="G83" s="28">
        <f>SUM(H83:K83)</f>
        <v>3.570325</v>
      </c>
      <c r="H83" s="29"/>
      <c r="I83" s="29">
        <f>I43/720</f>
        <v>3.570325</v>
      </c>
      <c r="J83" s="29"/>
      <c r="K83" s="30"/>
      <c r="L83" s="61"/>
      <c r="M83" s="69" t="s">
        <v>330</v>
      </c>
      <c r="N83" s="70" t="s">
        <v>331</v>
      </c>
      <c r="O83" s="70" t="s">
        <v>332</v>
      </c>
    </row>
    <row r="84" spans="3:16" s="60" customFormat="1" ht="12.75" x14ac:dyDescent="0.2">
      <c r="C84" s="9"/>
      <c r="D84" s="20"/>
      <c r="E84" s="21" t="s">
        <v>20</v>
      </c>
      <c r="F84" s="22"/>
      <c r="G84" s="22"/>
      <c r="H84" s="22"/>
      <c r="I84" s="22"/>
      <c r="J84" s="22"/>
      <c r="K84" s="23"/>
      <c r="L84" s="61"/>
      <c r="M84" s="49"/>
      <c r="P84" s="67"/>
    </row>
    <row r="85" spans="3:16" s="60" customFormat="1" ht="12.75" x14ac:dyDescent="0.2">
      <c r="C85" s="9"/>
      <c r="D85" s="10" t="s">
        <v>139</v>
      </c>
      <c r="E85" s="37" t="s">
        <v>70</v>
      </c>
      <c r="F85" s="12" t="s">
        <v>140</v>
      </c>
      <c r="G85" s="13">
        <f t="shared" si="0"/>
        <v>0</v>
      </c>
      <c r="H85" s="15"/>
      <c r="I85" s="15"/>
      <c r="J85" s="15"/>
      <c r="K85" s="15"/>
      <c r="L85" s="61"/>
      <c r="M85" s="49"/>
      <c r="P85" s="67">
        <v>410</v>
      </c>
    </row>
    <row r="86" spans="3:16" s="60" customFormat="1" ht="12.75" x14ac:dyDescent="0.2">
      <c r="C86" s="9"/>
      <c r="D86" s="10" t="s">
        <v>141</v>
      </c>
      <c r="E86" s="11" t="s">
        <v>73</v>
      </c>
      <c r="F86" s="12" t="s">
        <v>142</v>
      </c>
      <c r="G86" s="13">
        <f t="shared" si="0"/>
        <v>3.4766250000000016</v>
      </c>
      <c r="H86" s="15">
        <f>H46/720</f>
        <v>1.0805750000000001</v>
      </c>
      <c r="I86" s="15">
        <f>I46/720</f>
        <v>1.1832250000000004</v>
      </c>
      <c r="J86" s="15">
        <f>J46/720</f>
        <v>1.2128250000000003</v>
      </c>
      <c r="K86" s="15">
        <f>K46/720</f>
        <v>5.3290705182007512E-16</v>
      </c>
      <c r="L86" s="61"/>
      <c r="M86" s="49"/>
      <c r="P86" s="67">
        <v>440</v>
      </c>
    </row>
    <row r="87" spans="3:16" s="60" customFormat="1" ht="12.75" x14ac:dyDescent="0.2">
      <c r="C87" s="9"/>
      <c r="D87" s="10" t="s">
        <v>143</v>
      </c>
      <c r="E87" s="11" t="s">
        <v>76</v>
      </c>
      <c r="F87" s="12" t="s">
        <v>144</v>
      </c>
      <c r="G87" s="13">
        <f t="shared" si="0"/>
        <v>0</v>
      </c>
      <c r="H87" s="15"/>
      <c r="I87" s="15"/>
      <c r="J87" s="15"/>
      <c r="K87" s="15"/>
      <c r="L87" s="61"/>
      <c r="M87" s="49"/>
      <c r="P87" s="67">
        <v>450</v>
      </c>
    </row>
    <row r="88" spans="3:16" s="60" customFormat="1" ht="12.75" x14ac:dyDescent="0.2">
      <c r="C88" s="9"/>
      <c r="D88" s="10" t="s">
        <v>145</v>
      </c>
      <c r="E88" s="11" t="s">
        <v>79</v>
      </c>
      <c r="F88" s="12" t="s">
        <v>146</v>
      </c>
      <c r="G88" s="13">
        <f t="shared" si="0"/>
        <v>0</v>
      </c>
      <c r="H88" s="15"/>
      <c r="I88" s="15"/>
      <c r="J88" s="15"/>
      <c r="K88" s="15"/>
      <c r="L88" s="61"/>
      <c r="M88" s="49"/>
      <c r="P88" s="67">
        <v>470</v>
      </c>
    </row>
    <row r="89" spans="3:16" s="60" customFormat="1" ht="12.75" x14ac:dyDescent="0.2">
      <c r="C89" s="9"/>
      <c r="D89" s="10" t="s">
        <v>147</v>
      </c>
      <c r="E89" s="11" t="s">
        <v>82</v>
      </c>
      <c r="F89" s="12" t="s">
        <v>148</v>
      </c>
      <c r="G89" s="13">
        <f t="shared" si="0"/>
        <v>0.24942500000000001</v>
      </c>
      <c r="H89" s="15">
        <f>H49/720</f>
        <v>2.6388888888888888E-5</v>
      </c>
      <c r="I89" s="15">
        <f>I49/720</f>
        <v>7.1222222222222228E-2</v>
      </c>
      <c r="J89" s="15">
        <f>J49/720</f>
        <v>6.3909722222222229E-2</v>
      </c>
      <c r="K89" s="15">
        <f>K49/720</f>
        <v>0.11426666666666667</v>
      </c>
      <c r="L89" s="61"/>
      <c r="M89" s="49"/>
      <c r="P89" s="67">
        <v>480</v>
      </c>
    </row>
    <row r="90" spans="3:16" s="60" customFormat="1" ht="12.75" x14ac:dyDescent="0.2">
      <c r="C90" s="9"/>
      <c r="D90" s="10" t="s">
        <v>149</v>
      </c>
      <c r="E90" s="14" t="s">
        <v>150</v>
      </c>
      <c r="F90" s="12" t="s">
        <v>151</v>
      </c>
      <c r="G90" s="13">
        <f t="shared" si="0"/>
        <v>0</v>
      </c>
      <c r="H90" s="15"/>
      <c r="I90" s="15"/>
      <c r="J90" s="15"/>
      <c r="K90" s="15"/>
      <c r="L90" s="61"/>
      <c r="M90" s="49"/>
      <c r="P90" s="67">
        <v>490</v>
      </c>
    </row>
    <row r="91" spans="3:16" s="60" customFormat="1" ht="22.5" x14ac:dyDescent="0.2">
      <c r="C91" s="9"/>
      <c r="D91" s="10" t="s">
        <v>152</v>
      </c>
      <c r="E91" s="11" t="s">
        <v>88</v>
      </c>
      <c r="F91" s="12" t="s">
        <v>153</v>
      </c>
      <c r="G91" s="13">
        <f t="shared" si="0"/>
        <v>0.19082500000000002</v>
      </c>
      <c r="H91" s="15"/>
      <c r="I91" s="15">
        <f>I51/720</f>
        <v>4.7095610000000003E-2</v>
      </c>
      <c r="J91" s="15">
        <f>J51/720</f>
        <v>6.2800507500000005E-2</v>
      </c>
      <c r="K91" s="15">
        <f>K51/720</f>
        <v>8.0928882500000007E-2</v>
      </c>
      <c r="L91" s="61"/>
      <c r="M91" s="49"/>
      <c r="P91" s="67"/>
    </row>
    <row r="92" spans="3:16" s="60" customFormat="1" ht="33.75" x14ac:dyDescent="0.2">
      <c r="C92" s="9"/>
      <c r="D92" s="10" t="s">
        <v>154</v>
      </c>
      <c r="E92" s="32" t="s">
        <v>91</v>
      </c>
      <c r="F92" s="12" t="s">
        <v>155</v>
      </c>
      <c r="G92" s="13">
        <f t="shared" si="0"/>
        <v>5.8599999999999999E-2</v>
      </c>
      <c r="H92" s="13">
        <f>H89-H91</f>
        <v>2.6388888888888888E-5</v>
      </c>
      <c r="I92" s="13">
        <f>I89-I91</f>
        <v>2.4126612222222225E-2</v>
      </c>
      <c r="J92" s="13">
        <f>J89-J91</f>
        <v>1.1092147222222237E-3</v>
      </c>
      <c r="K92" s="13">
        <f>K89-K91</f>
        <v>3.3337784166666662E-2</v>
      </c>
      <c r="L92" s="61"/>
      <c r="M92" s="49"/>
      <c r="P92" s="67"/>
    </row>
    <row r="93" spans="3:16" s="60" customFormat="1" ht="12.75" x14ac:dyDescent="0.2">
      <c r="C93" s="9"/>
      <c r="D93" s="10" t="s">
        <v>156</v>
      </c>
      <c r="E93" s="11" t="s">
        <v>94</v>
      </c>
      <c r="F93" s="12" t="s">
        <v>157</v>
      </c>
      <c r="G93" s="13">
        <f t="shared" si="0"/>
        <v>0</v>
      </c>
      <c r="H93" s="13">
        <f>(H55+H69+H74)-(H75+H86+H87+H88+H89)</f>
        <v>0</v>
      </c>
      <c r="I93" s="13">
        <f>(I55+I69+I74)-(I75+I86+I87+I88+I89)</f>
        <v>0</v>
      </c>
      <c r="J93" s="13">
        <f>(J55+J69+J74)-(J75+J86+J87+J88+J89)</f>
        <v>0</v>
      </c>
      <c r="K93" s="13">
        <f>(K55+K69+K74)-(K75+K86+K87+K88+K89)</f>
        <v>0</v>
      </c>
      <c r="L93" s="61"/>
      <c r="M93" s="49"/>
      <c r="P93" s="67">
        <v>500</v>
      </c>
    </row>
    <row r="94" spans="3:16" s="60" customFormat="1" ht="12.75" x14ac:dyDescent="0.2">
      <c r="C94" s="9"/>
      <c r="D94" s="99" t="s">
        <v>158</v>
      </c>
      <c r="E94" s="100"/>
      <c r="F94" s="100"/>
      <c r="G94" s="100"/>
      <c r="H94" s="100"/>
      <c r="I94" s="100"/>
      <c r="J94" s="100"/>
      <c r="K94" s="101"/>
      <c r="L94" s="61"/>
      <c r="M94" s="49"/>
      <c r="P94" s="68"/>
    </row>
    <row r="95" spans="3:16" s="60" customFormat="1" ht="12.75" x14ac:dyDescent="0.2">
      <c r="C95" s="9"/>
      <c r="D95" s="10" t="s">
        <v>159</v>
      </c>
      <c r="E95" s="11" t="s">
        <v>160</v>
      </c>
      <c r="F95" s="12" t="s">
        <v>161</v>
      </c>
      <c r="G95" s="13">
        <f t="shared" si="0"/>
        <v>0</v>
      </c>
      <c r="H95" s="15"/>
      <c r="I95" s="15"/>
      <c r="J95" s="15"/>
      <c r="K95" s="15"/>
      <c r="L95" s="61"/>
      <c r="M95" s="49"/>
      <c r="P95" s="67">
        <v>600</v>
      </c>
    </row>
    <row r="96" spans="3:16" s="60" customFormat="1" ht="12.75" x14ac:dyDescent="0.2">
      <c r="C96" s="9"/>
      <c r="D96" s="10" t="s">
        <v>162</v>
      </c>
      <c r="E96" s="11" t="s">
        <v>163</v>
      </c>
      <c r="F96" s="12" t="s">
        <v>164</v>
      </c>
      <c r="G96" s="13">
        <f t="shared" si="0"/>
        <v>39.573</v>
      </c>
      <c r="H96" s="15"/>
      <c r="I96" s="15">
        <v>39.573</v>
      </c>
      <c r="J96" s="15"/>
      <c r="K96" s="15"/>
      <c r="L96" s="61"/>
      <c r="M96" s="49"/>
      <c r="P96" s="67">
        <v>610</v>
      </c>
    </row>
    <row r="97" spans="3:16" s="60" customFormat="1" ht="12.75" x14ac:dyDescent="0.2">
      <c r="C97" s="9"/>
      <c r="D97" s="10" t="s">
        <v>165</v>
      </c>
      <c r="E97" s="11" t="s">
        <v>166</v>
      </c>
      <c r="F97" s="12" t="s">
        <v>167</v>
      </c>
      <c r="G97" s="13">
        <f t="shared" si="0"/>
        <v>0</v>
      </c>
      <c r="H97" s="15"/>
      <c r="I97" s="15"/>
      <c r="J97" s="15"/>
      <c r="K97" s="15"/>
      <c r="L97" s="61"/>
      <c r="M97" s="49"/>
      <c r="P97" s="67">
        <v>620</v>
      </c>
    </row>
    <row r="98" spans="3:16" s="60" customFormat="1" ht="12.75" x14ac:dyDescent="0.2">
      <c r="C98" s="9"/>
      <c r="D98" s="99" t="s">
        <v>168</v>
      </c>
      <c r="E98" s="100"/>
      <c r="F98" s="100"/>
      <c r="G98" s="100"/>
      <c r="H98" s="100"/>
      <c r="I98" s="100"/>
      <c r="J98" s="100"/>
      <c r="K98" s="101"/>
      <c r="L98" s="61"/>
      <c r="M98" s="49"/>
      <c r="P98" s="68"/>
    </row>
    <row r="99" spans="3:16" s="60" customFormat="1" ht="12.75" x14ac:dyDescent="0.2">
      <c r="C99" s="9"/>
      <c r="D99" s="10" t="s">
        <v>169</v>
      </c>
      <c r="E99" s="11" t="s">
        <v>170</v>
      </c>
      <c r="F99" s="12" t="s">
        <v>171</v>
      </c>
      <c r="G99" s="13">
        <f t="shared" si="0"/>
        <v>0</v>
      </c>
      <c r="H99" s="13">
        <f>SUM(H100:H101)</f>
        <v>0</v>
      </c>
      <c r="I99" s="13">
        <f>SUM(I100:I101)</f>
        <v>0</v>
      </c>
      <c r="J99" s="13">
        <f>SUM(J100:J101)</f>
        <v>0</v>
      </c>
      <c r="K99" s="13">
        <f>SUM(K100:K101)</f>
        <v>0</v>
      </c>
      <c r="L99" s="61"/>
      <c r="M99" s="49"/>
      <c r="P99" s="67">
        <v>700</v>
      </c>
    </row>
    <row r="100" spans="3:16" ht="12.75" x14ac:dyDescent="0.2">
      <c r="C100" s="5"/>
      <c r="D100" s="39" t="s">
        <v>172</v>
      </c>
      <c r="E100" s="14" t="s">
        <v>173</v>
      </c>
      <c r="F100" s="12" t="s">
        <v>174</v>
      </c>
      <c r="G100" s="13">
        <f t="shared" si="0"/>
        <v>0</v>
      </c>
      <c r="H100" s="40"/>
      <c r="I100" s="40"/>
      <c r="J100" s="40"/>
      <c r="K100" s="40"/>
      <c r="L100" s="59"/>
      <c r="M100" s="49"/>
      <c r="P100" s="67">
        <v>710</v>
      </c>
    </row>
    <row r="101" spans="3:16" ht="12.75" x14ac:dyDescent="0.2">
      <c r="C101" s="5"/>
      <c r="D101" s="39" t="s">
        <v>175</v>
      </c>
      <c r="E101" s="14" t="s">
        <v>176</v>
      </c>
      <c r="F101" s="12" t="s">
        <v>177</v>
      </c>
      <c r="G101" s="13">
        <f t="shared" si="0"/>
        <v>0</v>
      </c>
      <c r="H101" s="41">
        <f>H104</f>
        <v>0</v>
      </c>
      <c r="I101" s="41">
        <f>I104</f>
        <v>0</v>
      </c>
      <c r="J101" s="41">
        <f>J104</f>
        <v>0</v>
      </c>
      <c r="K101" s="41">
        <f>K104</f>
        <v>0</v>
      </c>
      <c r="L101" s="59"/>
      <c r="M101" s="49"/>
      <c r="P101" s="67">
        <v>720</v>
      </c>
    </row>
    <row r="102" spans="3:16" ht="12.75" x14ac:dyDescent="0.2">
      <c r="C102" s="5"/>
      <c r="D102" s="39" t="s">
        <v>178</v>
      </c>
      <c r="E102" s="34" t="s">
        <v>179</v>
      </c>
      <c r="F102" s="12" t="s">
        <v>180</v>
      </c>
      <c r="G102" s="13">
        <f t="shared" si="0"/>
        <v>0</v>
      </c>
      <c r="H102" s="40"/>
      <c r="I102" s="40"/>
      <c r="J102" s="40"/>
      <c r="K102" s="40"/>
      <c r="L102" s="59"/>
      <c r="M102" s="49"/>
      <c r="P102" s="67">
        <v>730</v>
      </c>
    </row>
    <row r="103" spans="3:16" ht="12.75" x14ac:dyDescent="0.2">
      <c r="C103" s="5"/>
      <c r="D103" s="39" t="s">
        <v>181</v>
      </c>
      <c r="E103" s="35" t="s">
        <v>182</v>
      </c>
      <c r="F103" s="12" t="s">
        <v>183</v>
      </c>
      <c r="G103" s="13">
        <f t="shared" si="0"/>
        <v>0</v>
      </c>
      <c r="H103" s="40"/>
      <c r="I103" s="40"/>
      <c r="J103" s="40"/>
      <c r="K103" s="40"/>
      <c r="L103" s="59"/>
      <c r="M103" s="49"/>
      <c r="P103" s="67"/>
    </row>
    <row r="104" spans="3:16" ht="12.75" x14ac:dyDescent="0.2">
      <c r="C104" s="5"/>
      <c r="D104" s="39" t="s">
        <v>184</v>
      </c>
      <c r="E104" s="34" t="s">
        <v>185</v>
      </c>
      <c r="F104" s="12" t="s">
        <v>186</v>
      </c>
      <c r="G104" s="13">
        <f t="shared" si="0"/>
        <v>0</v>
      </c>
      <c r="H104" s="40"/>
      <c r="I104" s="40"/>
      <c r="J104" s="40"/>
      <c r="K104" s="40"/>
      <c r="L104" s="59"/>
      <c r="M104" s="49"/>
      <c r="P104" s="67">
        <v>740</v>
      </c>
    </row>
    <row r="105" spans="3:16" ht="12.75" x14ac:dyDescent="0.2">
      <c r="C105" s="5"/>
      <c r="D105" s="39" t="s">
        <v>187</v>
      </c>
      <c r="E105" s="11" t="s">
        <v>188</v>
      </c>
      <c r="F105" s="12" t="s">
        <v>189</v>
      </c>
      <c r="G105" s="13">
        <f t="shared" si="0"/>
        <v>0</v>
      </c>
      <c r="H105" s="41">
        <f>H106+H122</f>
        <v>0</v>
      </c>
      <c r="I105" s="41">
        <f>I106+I122</f>
        <v>0</v>
      </c>
      <c r="J105" s="41">
        <f>J106+J122</f>
        <v>0</v>
      </c>
      <c r="K105" s="41">
        <f>K106+K122</f>
        <v>0</v>
      </c>
      <c r="L105" s="59"/>
      <c r="M105" s="49"/>
      <c r="P105" s="67">
        <v>750</v>
      </c>
    </row>
    <row r="106" spans="3:16" ht="12.75" x14ac:dyDescent="0.2">
      <c r="C106" s="5"/>
      <c r="D106" s="39" t="s">
        <v>190</v>
      </c>
      <c r="E106" s="14" t="s">
        <v>191</v>
      </c>
      <c r="F106" s="12" t="s">
        <v>192</v>
      </c>
      <c r="G106" s="13">
        <f t="shared" si="0"/>
        <v>0</v>
      </c>
      <c r="H106" s="41">
        <f>H107+H108</f>
        <v>0</v>
      </c>
      <c r="I106" s="41">
        <f>I107+I108</f>
        <v>0</v>
      </c>
      <c r="J106" s="41">
        <f>J107+J108</f>
        <v>0</v>
      </c>
      <c r="K106" s="41">
        <f>K107+K108</f>
        <v>0</v>
      </c>
      <c r="L106" s="59"/>
      <c r="M106" s="49"/>
      <c r="P106" s="67">
        <v>760</v>
      </c>
    </row>
    <row r="107" spans="3:16" ht="12.75" x14ac:dyDescent="0.2">
      <c r="C107" s="5"/>
      <c r="D107" s="39" t="s">
        <v>193</v>
      </c>
      <c r="E107" s="34" t="s">
        <v>194</v>
      </c>
      <c r="F107" s="12" t="s">
        <v>195</v>
      </c>
      <c r="G107" s="13">
        <f t="shared" si="0"/>
        <v>0</v>
      </c>
      <c r="H107" s="40"/>
      <c r="I107" s="40"/>
      <c r="J107" s="40"/>
      <c r="K107" s="40"/>
      <c r="L107" s="59"/>
      <c r="M107" s="49"/>
      <c r="P107" s="67"/>
    </row>
    <row r="108" spans="3:16" ht="12.75" x14ac:dyDescent="0.2">
      <c r="C108" s="5"/>
      <c r="D108" s="39" t="s">
        <v>196</v>
      </c>
      <c r="E108" s="34" t="s">
        <v>197</v>
      </c>
      <c r="F108" s="12" t="s">
        <v>198</v>
      </c>
      <c r="G108" s="13">
        <f t="shared" si="0"/>
        <v>0</v>
      </c>
      <c r="H108" s="41">
        <f>H109+H112+H115+H118+H119+H120+H121</f>
        <v>0</v>
      </c>
      <c r="I108" s="41">
        <f>I109+I112+I115+I118+I119+I120+I121</f>
        <v>0</v>
      </c>
      <c r="J108" s="41">
        <f>J109+J112+J115+J118+J119+J120+J121</f>
        <v>0</v>
      </c>
      <c r="K108" s="41">
        <f>K109+K112+K115+K118+K119+K120+K121</f>
        <v>0</v>
      </c>
      <c r="L108" s="59"/>
      <c r="M108" s="49"/>
      <c r="P108" s="67"/>
    </row>
    <row r="109" spans="3:16" ht="45" x14ac:dyDescent="0.2">
      <c r="C109" s="5"/>
      <c r="D109" s="39" t="s">
        <v>199</v>
      </c>
      <c r="E109" s="35" t="s">
        <v>200</v>
      </c>
      <c r="F109" s="12" t="s">
        <v>201</v>
      </c>
      <c r="G109" s="13">
        <f t="shared" si="0"/>
        <v>0</v>
      </c>
      <c r="H109" s="42">
        <f>H110+H111</f>
        <v>0</v>
      </c>
      <c r="I109" s="42">
        <f>I110+I111</f>
        <v>0</v>
      </c>
      <c r="J109" s="42">
        <f>J110+J111</f>
        <v>0</v>
      </c>
      <c r="K109" s="42">
        <f>K110+K111</f>
        <v>0</v>
      </c>
      <c r="L109" s="59"/>
      <c r="M109" s="49"/>
      <c r="P109" s="67"/>
    </row>
    <row r="110" spans="3:16" ht="12.75" x14ac:dyDescent="0.2">
      <c r="C110" s="5"/>
      <c r="D110" s="39" t="s">
        <v>202</v>
      </c>
      <c r="E110" s="43" t="s">
        <v>203</v>
      </c>
      <c r="F110" s="12" t="s">
        <v>204</v>
      </c>
      <c r="G110" s="13">
        <f t="shared" si="0"/>
        <v>0</v>
      </c>
      <c r="H110" s="40"/>
      <c r="I110" s="40"/>
      <c r="J110" s="40"/>
      <c r="K110" s="40"/>
      <c r="L110" s="59"/>
      <c r="M110" s="49"/>
      <c r="P110" s="67"/>
    </row>
    <row r="111" spans="3:16" ht="12.75" x14ac:dyDescent="0.2">
      <c r="C111" s="5"/>
      <c r="D111" s="39" t="s">
        <v>205</v>
      </c>
      <c r="E111" s="43" t="s">
        <v>206</v>
      </c>
      <c r="F111" s="12" t="s">
        <v>207</v>
      </c>
      <c r="G111" s="13">
        <f t="shared" si="0"/>
        <v>0</v>
      </c>
      <c r="H111" s="40"/>
      <c r="I111" s="40"/>
      <c r="J111" s="40"/>
      <c r="K111" s="40"/>
      <c r="L111" s="59"/>
      <c r="M111" s="49"/>
      <c r="P111" s="67"/>
    </row>
    <row r="112" spans="3:16" ht="45" x14ac:dyDescent="0.2">
      <c r="C112" s="5"/>
      <c r="D112" s="39" t="s">
        <v>208</v>
      </c>
      <c r="E112" s="35" t="s">
        <v>209</v>
      </c>
      <c r="F112" s="12" t="s">
        <v>210</v>
      </c>
      <c r="G112" s="13">
        <f t="shared" si="0"/>
        <v>0</v>
      </c>
      <c r="H112" s="42">
        <f>H113+H114</f>
        <v>0</v>
      </c>
      <c r="I112" s="42">
        <f>I113+I114</f>
        <v>0</v>
      </c>
      <c r="J112" s="42">
        <f>J113+J114</f>
        <v>0</v>
      </c>
      <c r="K112" s="42">
        <f>K113+K114</f>
        <v>0</v>
      </c>
      <c r="L112" s="59"/>
      <c r="M112" s="49"/>
      <c r="P112" s="67"/>
    </row>
    <row r="113" spans="3:16" ht="12.75" x14ac:dyDescent="0.2">
      <c r="C113" s="5"/>
      <c r="D113" s="39" t="s">
        <v>211</v>
      </c>
      <c r="E113" s="43" t="s">
        <v>203</v>
      </c>
      <c r="F113" s="12" t="s">
        <v>212</v>
      </c>
      <c r="G113" s="13">
        <f t="shared" si="0"/>
        <v>0</v>
      </c>
      <c r="H113" s="40"/>
      <c r="I113" s="40"/>
      <c r="J113" s="40"/>
      <c r="K113" s="40"/>
      <c r="L113" s="59"/>
      <c r="M113" s="49"/>
      <c r="P113" s="67"/>
    </row>
    <row r="114" spans="3:16" ht="12.75" x14ac:dyDescent="0.2">
      <c r="C114" s="5"/>
      <c r="D114" s="39" t="s">
        <v>213</v>
      </c>
      <c r="E114" s="43" t="s">
        <v>206</v>
      </c>
      <c r="F114" s="12" t="s">
        <v>214</v>
      </c>
      <c r="G114" s="13">
        <f t="shared" si="0"/>
        <v>0</v>
      </c>
      <c r="H114" s="40"/>
      <c r="I114" s="40"/>
      <c r="J114" s="40"/>
      <c r="K114" s="40"/>
      <c r="L114" s="59"/>
      <c r="M114" s="49"/>
      <c r="P114" s="67"/>
    </row>
    <row r="115" spans="3:16" ht="22.5" x14ac:dyDescent="0.2">
      <c r="C115" s="5"/>
      <c r="D115" s="39" t="s">
        <v>215</v>
      </c>
      <c r="E115" s="35" t="s">
        <v>216</v>
      </c>
      <c r="F115" s="12" t="s">
        <v>217</v>
      </c>
      <c r="G115" s="13">
        <f t="shared" si="0"/>
        <v>0</v>
      </c>
      <c r="H115" s="42">
        <f>H116+H117</f>
        <v>0</v>
      </c>
      <c r="I115" s="42">
        <f>I116+I117</f>
        <v>0</v>
      </c>
      <c r="J115" s="42">
        <f>J116+J117</f>
        <v>0</v>
      </c>
      <c r="K115" s="42">
        <f>K116+K117</f>
        <v>0</v>
      </c>
      <c r="L115" s="59"/>
      <c r="M115" s="49"/>
      <c r="P115" s="67"/>
    </row>
    <row r="116" spans="3:16" ht="12.75" x14ac:dyDescent="0.2">
      <c r="C116" s="5"/>
      <c r="D116" s="39" t="s">
        <v>218</v>
      </c>
      <c r="E116" s="43" t="s">
        <v>203</v>
      </c>
      <c r="F116" s="12" t="s">
        <v>219</v>
      </c>
      <c r="G116" s="13">
        <f t="shared" si="0"/>
        <v>0</v>
      </c>
      <c r="H116" s="40"/>
      <c r="I116" s="40"/>
      <c r="J116" s="40"/>
      <c r="K116" s="40"/>
      <c r="L116" s="59"/>
      <c r="M116" s="49"/>
      <c r="P116" s="67"/>
    </row>
    <row r="117" spans="3:16" ht="12.75" x14ac:dyDescent="0.2">
      <c r="C117" s="5"/>
      <c r="D117" s="39" t="s">
        <v>220</v>
      </c>
      <c r="E117" s="43" t="s">
        <v>206</v>
      </c>
      <c r="F117" s="12" t="s">
        <v>221</v>
      </c>
      <c r="G117" s="13">
        <f t="shared" si="0"/>
        <v>0</v>
      </c>
      <c r="H117" s="40"/>
      <c r="I117" s="40"/>
      <c r="J117" s="40"/>
      <c r="K117" s="40"/>
      <c r="L117" s="59"/>
      <c r="M117" s="49"/>
      <c r="P117" s="67"/>
    </row>
    <row r="118" spans="3:16" ht="22.5" x14ac:dyDescent="0.2">
      <c r="C118" s="5"/>
      <c r="D118" s="39" t="s">
        <v>222</v>
      </c>
      <c r="E118" s="35" t="s">
        <v>223</v>
      </c>
      <c r="F118" s="12" t="s">
        <v>224</v>
      </c>
      <c r="G118" s="13">
        <f t="shared" si="0"/>
        <v>0</v>
      </c>
      <c r="H118" s="40"/>
      <c r="I118" s="40"/>
      <c r="J118" s="40"/>
      <c r="K118" s="40"/>
      <c r="L118" s="59"/>
      <c r="M118" s="49"/>
      <c r="P118" s="67"/>
    </row>
    <row r="119" spans="3:16" ht="12.75" x14ac:dyDescent="0.2">
      <c r="C119" s="5"/>
      <c r="D119" s="39" t="s">
        <v>225</v>
      </c>
      <c r="E119" s="35" t="s">
        <v>226</v>
      </c>
      <c r="F119" s="12" t="s">
        <v>227</v>
      </c>
      <c r="G119" s="13">
        <f t="shared" si="0"/>
        <v>0</v>
      </c>
      <c r="H119" s="40"/>
      <c r="I119" s="40"/>
      <c r="J119" s="40"/>
      <c r="K119" s="40"/>
      <c r="L119" s="59"/>
      <c r="M119" s="49"/>
      <c r="P119" s="67"/>
    </row>
    <row r="120" spans="3:16" ht="45" x14ac:dyDescent="0.2">
      <c r="C120" s="5"/>
      <c r="D120" s="39" t="s">
        <v>228</v>
      </c>
      <c r="E120" s="35" t="s">
        <v>229</v>
      </c>
      <c r="F120" s="12" t="s">
        <v>230</v>
      </c>
      <c r="G120" s="13">
        <f t="shared" si="0"/>
        <v>0</v>
      </c>
      <c r="H120" s="40"/>
      <c r="I120" s="40"/>
      <c r="J120" s="40"/>
      <c r="K120" s="40"/>
      <c r="L120" s="59"/>
      <c r="M120" s="49"/>
      <c r="P120" s="67"/>
    </row>
    <row r="121" spans="3:16" ht="22.5" x14ac:dyDescent="0.2">
      <c r="C121" s="5"/>
      <c r="D121" s="39" t="s">
        <v>231</v>
      </c>
      <c r="E121" s="35" t="s">
        <v>232</v>
      </c>
      <c r="F121" s="12" t="s">
        <v>233</v>
      </c>
      <c r="G121" s="13">
        <f t="shared" si="0"/>
        <v>0</v>
      </c>
      <c r="H121" s="40"/>
      <c r="I121" s="40"/>
      <c r="J121" s="40"/>
      <c r="K121" s="40"/>
      <c r="L121" s="59"/>
      <c r="M121" s="49"/>
      <c r="P121" s="67"/>
    </row>
    <row r="122" spans="3:16" ht="12.75" x14ac:dyDescent="0.2">
      <c r="C122" s="5"/>
      <c r="D122" s="39" t="s">
        <v>234</v>
      </c>
      <c r="E122" s="14" t="s">
        <v>235</v>
      </c>
      <c r="F122" s="12" t="s">
        <v>236</v>
      </c>
      <c r="G122" s="13">
        <f t="shared" si="0"/>
        <v>0</v>
      </c>
      <c r="H122" s="41">
        <f>H125</f>
        <v>0</v>
      </c>
      <c r="I122" s="41">
        <f>I125</f>
        <v>0</v>
      </c>
      <c r="J122" s="41">
        <f>J125</f>
        <v>0</v>
      </c>
      <c r="K122" s="41">
        <f>K125</f>
        <v>0</v>
      </c>
      <c r="L122" s="59"/>
      <c r="M122" s="49"/>
      <c r="P122" s="67">
        <v>770</v>
      </c>
    </row>
    <row r="123" spans="3:16" ht="12.75" x14ac:dyDescent="0.2">
      <c r="C123" s="5"/>
      <c r="D123" s="39" t="s">
        <v>237</v>
      </c>
      <c r="E123" s="34" t="s">
        <v>179</v>
      </c>
      <c r="F123" s="12" t="s">
        <v>238</v>
      </c>
      <c r="G123" s="13">
        <f t="shared" si="0"/>
        <v>0</v>
      </c>
      <c r="H123" s="40"/>
      <c r="I123" s="40"/>
      <c r="J123" s="40"/>
      <c r="K123" s="40"/>
      <c r="L123" s="59"/>
      <c r="M123" s="49"/>
      <c r="P123" s="67">
        <v>780</v>
      </c>
    </row>
    <row r="124" spans="3:16" ht="12.75" x14ac:dyDescent="0.2">
      <c r="C124" s="5"/>
      <c r="D124" s="39" t="s">
        <v>239</v>
      </c>
      <c r="E124" s="35" t="s">
        <v>240</v>
      </c>
      <c r="F124" s="12" t="s">
        <v>241</v>
      </c>
      <c r="G124" s="13">
        <f t="shared" si="0"/>
        <v>0</v>
      </c>
      <c r="H124" s="40"/>
      <c r="I124" s="40"/>
      <c r="J124" s="40"/>
      <c r="K124" s="40"/>
      <c r="L124" s="59"/>
      <c r="M124" s="49"/>
      <c r="P124" s="67"/>
    </row>
    <row r="125" spans="3:16" ht="12.75" x14ac:dyDescent="0.2">
      <c r="C125" s="5"/>
      <c r="D125" s="39" t="s">
        <v>242</v>
      </c>
      <c r="E125" s="34" t="s">
        <v>185</v>
      </c>
      <c r="F125" s="12" t="s">
        <v>243</v>
      </c>
      <c r="G125" s="13">
        <f t="shared" si="0"/>
        <v>0</v>
      </c>
      <c r="H125" s="40"/>
      <c r="I125" s="40"/>
      <c r="J125" s="40"/>
      <c r="K125" s="40"/>
      <c r="L125" s="59"/>
      <c r="M125" s="49"/>
      <c r="P125" s="67">
        <v>790</v>
      </c>
    </row>
    <row r="126" spans="3:16" ht="22.5" x14ac:dyDescent="0.2">
      <c r="C126" s="5"/>
      <c r="D126" s="39" t="s">
        <v>244</v>
      </c>
      <c r="E126" s="32" t="s">
        <v>245</v>
      </c>
      <c r="F126" s="12" t="s">
        <v>246</v>
      </c>
      <c r="G126" s="13">
        <f t="shared" si="0"/>
        <v>5553.93</v>
      </c>
      <c r="H126" s="41">
        <f>SUM(H127:H128)</f>
        <v>1.9E-2</v>
      </c>
      <c r="I126" s="41">
        <f>SUM(I127:I128)</f>
        <v>3413.4450000000002</v>
      </c>
      <c r="J126" s="41">
        <f>SUM(J127:J128)</f>
        <v>1349.5040000000001</v>
      </c>
      <c r="K126" s="41">
        <f>SUM(K127:K128)</f>
        <v>790.96199999999999</v>
      </c>
      <c r="L126" s="59"/>
      <c r="M126" s="49"/>
      <c r="P126" s="67"/>
    </row>
    <row r="127" spans="3:16" ht="12.75" x14ac:dyDescent="0.2">
      <c r="C127" s="5"/>
      <c r="D127" s="39" t="s">
        <v>247</v>
      </c>
      <c r="E127" s="14" t="s">
        <v>173</v>
      </c>
      <c r="F127" s="12" t="s">
        <v>248</v>
      </c>
      <c r="G127" s="13">
        <f t="shared" si="0"/>
        <v>0</v>
      </c>
      <c r="H127" s="40"/>
      <c r="I127" s="40"/>
      <c r="J127" s="40"/>
      <c r="K127" s="40"/>
      <c r="L127" s="59"/>
      <c r="M127" s="49"/>
      <c r="P127" s="67"/>
    </row>
    <row r="128" spans="3:16" ht="12.75" x14ac:dyDescent="0.2">
      <c r="C128" s="5"/>
      <c r="D128" s="39" t="s">
        <v>249</v>
      </c>
      <c r="E128" s="14" t="s">
        <v>176</v>
      </c>
      <c r="F128" s="12" t="s">
        <v>250</v>
      </c>
      <c r="G128" s="13">
        <f t="shared" si="0"/>
        <v>5553.93</v>
      </c>
      <c r="H128" s="41">
        <f>H130</f>
        <v>1.9E-2</v>
      </c>
      <c r="I128" s="41">
        <f>I130</f>
        <v>3413.4450000000002</v>
      </c>
      <c r="J128" s="41">
        <f>J130</f>
        <v>1349.5040000000001</v>
      </c>
      <c r="K128" s="41">
        <f>K130</f>
        <v>790.96199999999999</v>
      </c>
      <c r="L128" s="59"/>
      <c r="M128" s="49"/>
      <c r="P128" s="67"/>
    </row>
    <row r="129" spans="3:16" ht="12.75" x14ac:dyDescent="0.2">
      <c r="C129" s="5"/>
      <c r="D129" s="39" t="s">
        <v>251</v>
      </c>
      <c r="E129" s="34" t="s">
        <v>252</v>
      </c>
      <c r="F129" s="12" t="s">
        <v>253</v>
      </c>
      <c r="G129" s="13">
        <f t="shared" si="0"/>
        <v>44.622999999999998</v>
      </c>
      <c r="H129" s="40"/>
      <c r="I129" s="40">
        <v>44.622999999999998</v>
      </c>
      <c r="J129" s="40"/>
      <c r="K129" s="40"/>
      <c r="L129" s="59"/>
      <c r="M129" s="49"/>
      <c r="P129" s="67"/>
    </row>
    <row r="130" spans="3:16" ht="12.75" x14ac:dyDescent="0.2">
      <c r="C130" s="5"/>
      <c r="D130" s="39" t="s">
        <v>254</v>
      </c>
      <c r="E130" s="34" t="s">
        <v>185</v>
      </c>
      <c r="F130" s="12" t="s">
        <v>255</v>
      </c>
      <c r="G130" s="13">
        <f t="shared" si="0"/>
        <v>5553.93</v>
      </c>
      <c r="H130" s="40">
        <f>H49+H35</f>
        <v>1.9E-2</v>
      </c>
      <c r="I130" s="40">
        <f>I35+172.552</f>
        <v>3413.4450000000002</v>
      </c>
      <c r="J130" s="40">
        <f>J35+7.015</f>
        <v>1349.5040000000001</v>
      </c>
      <c r="K130" s="40">
        <f>K35</f>
        <v>790.96199999999999</v>
      </c>
      <c r="L130" s="59"/>
      <c r="M130" s="49"/>
      <c r="P130" s="67"/>
    </row>
    <row r="131" spans="3:16" ht="12.75" x14ac:dyDescent="0.2">
      <c r="C131" s="5"/>
      <c r="D131" s="99" t="s">
        <v>256</v>
      </c>
      <c r="E131" s="100"/>
      <c r="F131" s="100"/>
      <c r="G131" s="100"/>
      <c r="H131" s="100"/>
      <c r="I131" s="100"/>
      <c r="J131" s="100"/>
      <c r="K131" s="101"/>
      <c r="L131" s="59"/>
      <c r="M131" s="49"/>
      <c r="P131" s="71"/>
    </row>
    <row r="132" spans="3:16" ht="22.5" x14ac:dyDescent="0.2">
      <c r="C132" s="5"/>
      <c r="D132" s="39" t="s">
        <v>257</v>
      </c>
      <c r="E132" s="11" t="s">
        <v>258</v>
      </c>
      <c r="F132" s="12" t="s">
        <v>259</v>
      </c>
      <c r="G132" s="13">
        <f t="shared" si="0"/>
        <v>0</v>
      </c>
      <c r="H132" s="41">
        <f>SUM( H133:H134)</f>
        <v>0</v>
      </c>
      <c r="I132" s="41">
        <f>SUM( I133:I134)</f>
        <v>0</v>
      </c>
      <c r="J132" s="41">
        <f>SUM( J133:J134)</f>
        <v>0</v>
      </c>
      <c r="K132" s="41">
        <f>SUM( K133:K134)</f>
        <v>0</v>
      </c>
      <c r="L132" s="59"/>
      <c r="M132" s="49"/>
      <c r="P132" s="67">
        <v>800</v>
      </c>
    </row>
    <row r="133" spans="3:16" ht="12.75" x14ac:dyDescent="0.2">
      <c r="C133" s="5"/>
      <c r="D133" s="39" t="s">
        <v>260</v>
      </c>
      <c r="E133" s="14" t="s">
        <v>173</v>
      </c>
      <c r="F133" s="12" t="s">
        <v>261</v>
      </c>
      <c r="G133" s="13">
        <f t="shared" si="0"/>
        <v>0</v>
      </c>
      <c r="H133" s="40"/>
      <c r="I133" s="40"/>
      <c r="J133" s="40"/>
      <c r="K133" s="40"/>
      <c r="L133" s="59"/>
      <c r="M133" s="49"/>
      <c r="P133" s="67">
        <v>810</v>
      </c>
    </row>
    <row r="134" spans="3:16" ht="12.75" x14ac:dyDescent="0.2">
      <c r="C134" s="5"/>
      <c r="D134" s="39" t="s">
        <v>262</v>
      </c>
      <c r="E134" s="14" t="s">
        <v>176</v>
      </c>
      <c r="F134" s="12" t="s">
        <v>263</v>
      </c>
      <c r="G134" s="13">
        <f t="shared" si="0"/>
        <v>0</v>
      </c>
      <c r="H134" s="41">
        <f>H135+H137</f>
        <v>0</v>
      </c>
      <c r="I134" s="41">
        <f>I135+I137</f>
        <v>0</v>
      </c>
      <c r="J134" s="41">
        <f>J135+J137</f>
        <v>0</v>
      </c>
      <c r="K134" s="41">
        <f>K135+K137</f>
        <v>0</v>
      </c>
      <c r="L134" s="59"/>
      <c r="M134" s="49"/>
      <c r="P134" s="67">
        <v>820</v>
      </c>
    </row>
    <row r="135" spans="3:16" ht="12.75" x14ac:dyDescent="0.2">
      <c r="C135" s="5"/>
      <c r="D135" s="39" t="s">
        <v>264</v>
      </c>
      <c r="E135" s="34" t="s">
        <v>265</v>
      </c>
      <c r="F135" s="12" t="s">
        <v>266</v>
      </c>
      <c r="G135" s="13">
        <f t="shared" si="0"/>
        <v>0</v>
      </c>
      <c r="H135" s="40"/>
      <c r="I135" s="40"/>
      <c r="J135" s="40"/>
      <c r="K135" s="40"/>
      <c r="L135" s="59"/>
      <c r="M135" s="49"/>
      <c r="P135" s="67">
        <v>830</v>
      </c>
    </row>
    <row r="136" spans="3:16" ht="12.75" x14ac:dyDescent="0.2">
      <c r="C136" s="5"/>
      <c r="D136" s="39" t="s">
        <v>267</v>
      </c>
      <c r="E136" s="35" t="s">
        <v>268</v>
      </c>
      <c r="F136" s="12" t="s">
        <v>269</v>
      </c>
      <c r="G136" s="13">
        <f t="shared" si="0"/>
        <v>0</v>
      </c>
      <c r="H136" s="40"/>
      <c r="I136" s="40"/>
      <c r="J136" s="40"/>
      <c r="K136" s="40"/>
      <c r="L136" s="59"/>
      <c r="M136" s="49"/>
      <c r="P136" s="71"/>
    </row>
    <row r="137" spans="3:16" ht="12.75" x14ac:dyDescent="0.2">
      <c r="C137" s="5"/>
      <c r="D137" s="39" t="s">
        <v>270</v>
      </c>
      <c r="E137" s="34" t="s">
        <v>271</v>
      </c>
      <c r="F137" s="12" t="s">
        <v>272</v>
      </c>
      <c r="G137" s="13">
        <f t="shared" si="0"/>
        <v>0</v>
      </c>
      <c r="H137" s="40"/>
      <c r="I137" s="40"/>
      <c r="J137" s="40"/>
      <c r="K137" s="40"/>
      <c r="L137" s="59"/>
      <c r="M137" s="49"/>
      <c r="P137" s="67">
        <v>840</v>
      </c>
    </row>
    <row r="138" spans="3:16" ht="12.75" x14ac:dyDescent="0.2">
      <c r="C138" s="5"/>
      <c r="D138" s="39" t="s">
        <v>19</v>
      </c>
      <c r="E138" s="11" t="s">
        <v>273</v>
      </c>
      <c r="F138" s="12" t="s">
        <v>274</v>
      </c>
      <c r="G138" s="13">
        <f t="shared" si="0"/>
        <v>0</v>
      </c>
      <c r="H138" s="42">
        <f>SUM( H139+H144)</f>
        <v>0</v>
      </c>
      <c r="I138" s="42">
        <f>SUM( I139+I144)</f>
        <v>0</v>
      </c>
      <c r="J138" s="42">
        <f>SUM( J139+J144)</f>
        <v>0</v>
      </c>
      <c r="K138" s="42">
        <f>SUM( K139+K144)</f>
        <v>0</v>
      </c>
      <c r="L138" s="62"/>
      <c r="M138" s="49"/>
      <c r="P138" s="67">
        <v>850</v>
      </c>
    </row>
    <row r="139" spans="3:16" ht="12.75" x14ac:dyDescent="0.2">
      <c r="C139" s="5"/>
      <c r="D139" s="39" t="s">
        <v>275</v>
      </c>
      <c r="E139" s="14" t="s">
        <v>173</v>
      </c>
      <c r="F139" s="12" t="s">
        <v>276</v>
      </c>
      <c r="G139" s="13">
        <f t="shared" ref="G139:G152" si="1">SUM(H139:K139)</f>
        <v>0</v>
      </c>
      <c r="H139" s="42">
        <f>SUM( H140:H141)</f>
        <v>0</v>
      </c>
      <c r="I139" s="42">
        <f>SUM( I140:I141)</f>
        <v>0</v>
      </c>
      <c r="J139" s="42">
        <f>SUM( J140:J141)</f>
        <v>0</v>
      </c>
      <c r="K139" s="42">
        <f>SUM( K140:K141)</f>
        <v>0</v>
      </c>
      <c r="L139" s="62"/>
      <c r="M139" s="49"/>
      <c r="P139" s="67">
        <v>860</v>
      </c>
    </row>
    <row r="140" spans="3:16" ht="12.75" x14ac:dyDescent="0.2">
      <c r="C140" s="5"/>
      <c r="D140" s="39" t="s">
        <v>277</v>
      </c>
      <c r="E140" s="34" t="s">
        <v>194</v>
      </c>
      <c r="F140" s="12" t="s">
        <v>278</v>
      </c>
      <c r="G140" s="13">
        <f t="shared" si="1"/>
        <v>0</v>
      </c>
      <c r="H140" s="44"/>
      <c r="I140" s="44"/>
      <c r="J140" s="44"/>
      <c r="K140" s="44"/>
      <c r="L140" s="62"/>
      <c r="M140" s="49"/>
      <c r="P140" s="67"/>
    </row>
    <row r="141" spans="3:16" ht="12.75" x14ac:dyDescent="0.2">
      <c r="C141" s="5"/>
      <c r="D141" s="39" t="s">
        <v>279</v>
      </c>
      <c r="E141" s="34" t="s">
        <v>197</v>
      </c>
      <c r="F141" s="12" t="s">
        <v>280</v>
      </c>
      <c r="G141" s="13">
        <f t="shared" si="1"/>
        <v>0</v>
      </c>
      <c r="H141" s="42">
        <f>H142+H143</f>
        <v>0</v>
      </c>
      <c r="I141" s="42">
        <f>I142+I143</f>
        <v>0</v>
      </c>
      <c r="J141" s="42">
        <f>J142+J143</f>
        <v>0</v>
      </c>
      <c r="K141" s="42">
        <f>K142+K143</f>
        <v>0</v>
      </c>
      <c r="L141" s="62"/>
      <c r="M141" s="49"/>
      <c r="P141" s="67"/>
    </row>
    <row r="142" spans="3:16" ht="12.75" x14ac:dyDescent="0.2">
      <c r="C142" s="5"/>
      <c r="D142" s="39" t="s">
        <v>281</v>
      </c>
      <c r="E142" s="35" t="s">
        <v>203</v>
      </c>
      <c r="F142" s="12" t="s">
        <v>282</v>
      </c>
      <c r="G142" s="13">
        <f t="shared" si="1"/>
        <v>0</v>
      </c>
      <c r="H142" s="44"/>
      <c r="I142" s="44"/>
      <c r="J142" s="44"/>
      <c r="K142" s="44"/>
      <c r="L142" s="62"/>
      <c r="M142" s="49"/>
      <c r="P142" s="67"/>
    </row>
    <row r="143" spans="3:16" ht="12.75" x14ac:dyDescent="0.2">
      <c r="C143" s="5"/>
      <c r="D143" s="39" t="s">
        <v>283</v>
      </c>
      <c r="E143" s="35" t="s">
        <v>284</v>
      </c>
      <c r="F143" s="12" t="s">
        <v>285</v>
      </c>
      <c r="G143" s="13">
        <f t="shared" si="1"/>
        <v>0</v>
      </c>
      <c r="H143" s="44"/>
      <c r="I143" s="44"/>
      <c r="J143" s="44"/>
      <c r="K143" s="44"/>
      <c r="L143" s="62"/>
      <c r="M143" s="49"/>
      <c r="P143" s="67"/>
    </row>
    <row r="144" spans="3:16" ht="12.75" x14ac:dyDescent="0.2">
      <c r="C144" s="5"/>
      <c r="D144" s="39" t="s">
        <v>286</v>
      </c>
      <c r="E144" s="14" t="s">
        <v>235</v>
      </c>
      <c r="F144" s="12" t="s">
        <v>287</v>
      </c>
      <c r="G144" s="13">
        <f t="shared" si="1"/>
        <v>0</v>
      </c>
      <c r="H144" s="42">
        <f>H145+H147</f>
        <v>0</v>
      </c>
      <c r="I144" s="42">
        <f>I145+I147</f>
        <v>0</v>
      </c>
      <c r="J144" s="42">
        <f>J145+J147</f>
        <v>0</v>
      </c>
      <c r="K144" s="42">
        <f>K145+K147</f>
        <v>0</v>
      </c>
      <c r="L144" s="62"/>
      <c r="M144" s="49"/>
      <c r="P144" s="67">
        <v>870</v>
      </c>
    </row>
    <row r="145" spans="3:19" ht="12.75" x14ac:dyDescent="0.2">
      <c r="C145" s="5"/>
      <c r="D145" s="39" t="s">
        <v>288</v>
      </c>
      <c r="E145" s="34" t="s">
        <v>265</v>
      </c>
      <c r="F145" s="12" t="s">
        <v>289</v>
      </c>
      <c r="G145" s="13">
        <f t="shared" si="1"/>
        <v>0</v>
      </c>
      <c r="H145" s="40"/>
      <c r="I145" s="40"/>
      <c r="J145" s="40"/>
      <c r="K145" s="40"/>
      <c r="L145" s="62"/>
      <c r="M145" s="49"/>
      <c r="P145" s="67">
        <v>880</v>
      </c>
    </row>
    <row r="146" spans="3:19" ht="12.75" x14ac:dyDescent="0.2">
      <c r="C146" s="5"/>
      <c r="D146" s="39" t="s">
        <v>290</v>
      </c>
      <c r="E146" s="35" t="s">
        <v>268</v>
      </c>
      <c r="F146" s="12" t="s">
        <v>291</v>
      </c>
      <c r="G146" s="13">
        <f t="shared" si="1"/>
        <v>0</v>
      </c>
      <c r="H146" s="40"/>
      <c r="I146" s="40"/>
      <c r="J146" s="40"/>
      <c r="K146" s="40"/>
      <c r="L146" s="62"/>
      <c r="M146" s="49"/>
      <c r="P146" s="67"/>
    </row>
    <row r="147" spans="3:19" ht="12.75" x14ac:dyDescent="0.2">
      <c r="C147" s="5"/>
      <c r="D147" s="39" t="s">
        <v>292</v>
      </c>
      <c r="E147" s="34" t="s">
        <v>271</v>
      </c>
      <c r="F147" s="12" t="s">
        <v>293</v>
      </c>
      <c r="G147" s="13">
        <f t="shared" si="1"/>
        <v>0</v>
      </c>
      <c r="H147" s="45"/>
      <c r="I147" s="45"/>
      <c r="J147" s="45"/>
      <c r="K147" s="45"/>
      <c r="L147" s="62"/>
      <c r="M147" s="49"/>
      <c r="P147" s="67">
        <v>890</v>
      </c>
    </row>
    <row r="148" spans="3:19" ht="22.5" x14ac:dyDescent="0.2">
      <c r="C148" s="5"/>
      <c r="D148" s="39" t="s">
        <v>294</v>
      </c>
      <c r="E148" s="11" t="s">
        <v>295</v>
      </c>
      <c r="F148" s="12" t="s">
        <v>296</v>
      </c>
      <c r="G148" s="13">
        <f t="shared" si="1"/>
        <v>3607.6301730360005</v>
      </c>
      <c r="H148" s="46">
        <f>SUM( H149:H150)</f>
        <v>2.01666E-3</v>
      </c>
      <c r="I148" s="46">
        <f>SUM( I149:I150)</f>
        <v>3380.4390951360001</v>
      </c>
      <c r="J148" s="46">
        <f>SUM( J149:J150)</f>
        <v>143.23635456000002</v>
      </c>
      <c r="K148" s="46">
        <f>SUM( K149:K150)</f>
        <v>83.952706680000006</v>
      </c>
      <c r="L148" s="62"/>
      <c r="M148" s="49"/>
      <c r="P148" s="67">
        <v>900</v>
      </c>
    </row>
    <row r="149" spans="3:19" ht="12.75" x14ac:dyDescent="0.2">
      <c r="C149" s="5"/>
      <c r="D149" s="39" t="s">
        <v>297</v>
      </c>
      <c r="E149" s="14" t="s">
        <v>173</v>
      </c>
      <c r="F149" s="12" t="s">
        <v>298</v>
      </c>
      <c r="G149" s="13">
        <f t="shared" si="1"/>
        <v>0</v>
      </c>
      <c r="H149" s="45"/>
      <c r="I149" s="45"/>
      <c r="J149" s="45"/>
      <c r="K149" s="45"/>
      <c r="L149" s="62"/>
      <c r="M149" s="49"/>
      <c r="P149" s="67"/>
    </row>
    <row r="150" spans="3:19" ht="12.75" x14ac:dyDescent="0.2">
      <c r="C150" s="5"/>
      <c r="D150" s="39" t="s">
        <v>299</v>
      </c>
      <c r="E150" s="14" t="s">
        <v>176</v>
      </c>
      <c r="F150" s="12" t="s">
        <v>300</v>
      </c>
      <c r="G150" s="13">
        <f t="shared" si="1"/>
        <v>3607.6301730360005</v>
      </c>
      <c r="H150" s="46">
        <f>H151+H152</f>
        <v>2.01666E-3</v>
      </c>
      <c r="I150" s="46">
        <f>I151+I152</f>
        <v>3380.4390951360001</v>
      </c>
      <c r="J150" s="46">
        <f>J151+J152</f>
        <v>143.23635456000002</v>
      </c>
      <c r="K150" s="46">
        <f>K151+K152</f>
        <v>83.952706680000006</v>
      </c>
      <c r="L150" s="62"/>
      <c r="M150" s="49"/>
      <c r="P150" s="67"/>
    </row>
    <row r="151" spans="3:19" ht="12.75" x14ac:dyDescent="0.2">
      <c r="C151" s="5"/>
      <c r="D151" s="39" t="s">
        <v>301</v>
      </c>
      <c r="E151" s="34" t="s">
        <v>302</v>
      </c>
      <c r="F151" s="12" t="s">
        <v>303</v>
      </c>
      <c r="G151" s="13">
        <f t="shared" si="1"/>
        <v>3018.1360428359999</v>
      </c>
      <c r="H151" s="45"/>
      <c r="I151" s="45">
        <f>I129*56363.61/1000*1.2</f>
        <v>3018.1360428359999</v>
      </c>
      <c r="J151" s="45"/>
      <c r="K151" s="45"/>
      <c r="L151" s="62"/>
      <c r="M151" s="49"/>
      <c r="P151" s="67" t="s">
        <v>333</v>
      </c>
    </row>
    <row r="152" spans="3:19" ht="12.75" x14ac:dyDescent="0.2">
      <c r="C152" s="5"/>
      <c r="D152" s="39" t="s">
        <v>304</v>
      </c>
      <c r="E152" s="34" t="s">
        <v>271</v>
      </c>
      <c r="F152" s="12" t="s">
        <v>305</v>
      </c>
      <c r="G152" s="13">
        <f t="shared" si="1"/>
        <v>589.49413019999997</v>
      </c>
      <c r="H152" s="45">
        <f>H130*88.45/1000*1.2</f>
        <v>2.01666E-3</v>
      </c>
      <c r="I152" s="45">
        <f>I130*88.45/1000*1.2</f>
        <v>362.30305229999999</v>
      </c>
      <c r="J152" s="45">
        <f>J130*88.45/1000*1.2</f>
        <v>143.23635456000002</v>
      </c>
      <c r="K152" s="45">
        <f>K130*88.45/1000*1.2</f>
        <v>83.952706680000006</v>
      </c>
      <c r="L152" s="62"/>
      <c r="M152" s="49"/>
      <c r="P152" s="67" t="s">
        <v>334</v>
      </c>
    </row>
    <row r="153" spans="3:19" x14ac:dyDescent="0.25">
      <c r="D153" s="4"/>
      <c r="E153" s="47"/>
      <c r="F153" s="47"/>
      <c r="G153" s="47"/>
      <c r="H153" s="47"/>
      <c r="I153" s="47"/>
      <c r="J153" s="47"/>
      <c r="K153" s="48"/>
      <c r="L153" s="48"/>
      <c r="M153" s="48"/>
      <c r="N153" s="48"/>
      <c r="O153" s="48"/>
      <c r="P153" s="48"/>
      <c r="Q153" s="48"/>
      <c r="R153" s="63"/>
      <c r="S153" s="63"/>
    </row>
    <row r="154" spans="3:19" ht="12.75" x14ac:dyDescent="0.2">
      <c r="E154" s="49" t="s">
        <v>306</v>
      </c>
      <c r="F154" s="108" t="str">
        <f>IF([2]Титульный!G45="","",[2]Титульный!G45)</f>
        <v>экономист</v>
      </c>
      <c r="G154" s="108"/>
      <c r="H154" s="50"/>
      <c r="I154" s="108" t="str">
        <f>IF([2]Титульный!G44="","",[2]Титульный!G44)</f>
        <v>Кривнева Е. В.</v>
      </c>
      <c r="J154" s="108"/>
      <c r="K154" s="108"/>
      <c r="L154" s="50"/>
      <c r="M154" s="72"/>
      <c r="N154" s="72"/>
      <c r="O154" s="52"/>
      <c r="P154" s="48"/>
      <c r="Q154" s="48"/>
      <c r="R154" s="63"/>
      <c r="S154" s="63"/>
    </row>
    <row r="155" spans="3:19" ht="12.75" x14ac:dyDescent="0.2">
      <c r="E155" s="51" t="s">
        <v>307</v>
      </c>
      <c r="F155" s="109" t="s">
        <v>308</v>
      </c>
      <c r="G155" s="109"/>
      <c r="H155" s="52"/>
      <c r="I155" s="109" t="s">
        <v>309</v>
      </c>
      <c r="J155" s="109"/>
      <c r="K155" s="109"/>
      <c r="L155" s="52"/>
      <c r="M155" s="109" t="s">
        <v>335</v>
      </c>
      <c r="N155" s="109"/>
      <c r="O155" s="49"/>
      <c r="P155" s="48"/>
      <c r="Q155" s="48"/>
      <c r="R155" s="63"/>
      <c r="S155" s="63"/>
    </row>
    <row r="156" spans="3:19" ht="12.75" x14ac:dyDescent="0.2">
      <c r="E156" s="51" t="s">
        <v>310</v>
      </c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8"/>
      <c r="Q156" s="48"/>
      <c r="R156" s="63"/>
      <c r="S156" s="63"/>
    </row>
    <row r="157" spans="3:19" ht="12.75" x14ac:dyDescent="0.2">
      <c r="E157" s="51" t="s">
        <v>311</v>
      </c>
      <c r="F157" s="108" t="str">
        <f>IF([2]Титульный!G46="","",[2]Титульный!G46)</f>
        <v>(861) 258-50-71</v>
      </c>
      <c r="G157" s="108"/>
      <c r="H157" s="108"/>
      <c r="I157" s="49"/>
      <c r="J157" s="51" t="s">
        <v>312</v>
      </c>
      <c r="K157" s="75"/>
      <c r="L157" s="49"/>
      <c r="M157" s="49"/>
      <c r="N157" s="49"/>
      <c r="O157" s="49"/>
      <c r="P157" s="48"/>
      <c r="Q157" s="48"/>
      <c r="R157" s="63"/>
      <c r="S157" s="63"/>
    </row>
    <row r="158" spans="3:19" ht="12.75" x14ac:dyDescent="0.2">
      <c r="E158" s="49" t="s">
        <v>313</v>
      </c>
      <c r="F158" s="110" t="s">
        <v>314</v>
      </c>
      <c r="G158" s="110"/>
      <c r="H158" s="110"/>
      <c r="I158" s="49"/>
      <c r="J158" s="53" t="s">
        <v>315</v>
      </c>
      <c r="K158" s="53"/>
      <c r="L158" s="49"/>
      <c r="M158" s="49"/>
      <c r="N158" s="49"/>
      <c r="O158" s="49"/>
      <c r="P158" s="48"/>
      <c r="Q158" s="48"/>
      <c r="R158" s="63"/>
      <c r="S158" s="63"/>
    </row>
    <row r="159" spans="3:19" x14ac:dyDescent="0.25"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63"/>
      <c r="S159" s="63"/>
    </row>
    <row r="160" spans="3:19" x14ac:dyDescent="0.25"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63"/>
      <c r="S160" s="63"/>
    </row>
    <row r="161" spans="5:19" x14ac:dyDescent="0.25">
      <c r="E161" s="48"/>
      <c r="F161" s="48"/>
      <c r="G161" s="80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63"/>
      <c r="S161" s="63"/>
    </row>
    <row r="162" spans="5:19" x14ac:dyDescent="0.25"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63"/>
      <c r="S162" s="63"/>
    </row>
    <row r="163" spans="5:19" x14ac:dyDescent="0.25"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63"/>
      <c r="S163" s="63"/>
    </row>
    <row r="164" spans="5:19" x14ac:dyDescent="0.25"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63"/>
      <c r="S164" s="63"/>
    </row>
    <row r="165" spans="5:19" x14ac:dyDescent="0.25"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63"/>
      <c r="S165" s="63"/>
    </row>
    <row r="166" spans="5:19" x14ac:dyDescent="0.25"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63"/>
      <c r="S166" s="63"/>
    </row>
    <row r="167" spans="5:19" x14ac:dyDescent="0.25"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63"/>
      <c r="S167" s="63"/>
    </row>
    <row r="168" spans="5:19" x14ac:dyDescent="0.25"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63"/>
      <c r="S168" s="63"/>
    </row>
    <row r="169" spans="5:19" x14ac:dyDescent="0.25"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63"/>
      <c r="S169" s="63"/>
    </row>
    <row r="170" spans="5:19" x14ac:dyDescent="0.25"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63"/>
      <c r="S170" s="63"/>
    </row>
    <row r="171" spans="5:19" x14ac:dyDescent="0.25"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63"/>
      <c r="S171" s="63"/>
    </row>
    <row r="172" spans="5:19" x14ac:dyDescent="0.25"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63"/>
      <c r="S172" s="63"/>
    </row>
    <row r="173" spans="5:19" x14ac:dyDescent="0.25"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63"/>
      <c r="S173" s="63"/>
    </row>
    <row r="174" spans="5:19" x14ac:dyDescent="0.25"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63"/>
      <c r="S174" s="63"/>
    </row>
    <row r="175" spans="5:19" x14ac:dyDescent="0.25"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63"/>
      <c r="S175" s="63"/>
    </row>
    <row r="176" spans="5:19" x14ac:dyDescent="0.25"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63"/>
      <c r="S176" s="63"/>
    </row>
    <row r="177" spans="5:19" x14ac:dyDescent="0.25"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63"/>
      <c r="S177" s="63"/>
    </row>
    <row r="178" spans="5:19" x14ac:dyDescent="0.25"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63"/>
      <c r="S178" s="63"/>
    </row>
    <row r="179" spans="5:19" x14ac:dyDescent="0.25"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63"/>
      <c r="S179" s="63"/>
    </row>
    <row r="180" spans="5:19" x14ac:dyDescent="0.25"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63"/>
      <c r="S180" s="63"/>
    </row>
    <row r="181" spans="5:19" x14ac:dyDescent="0.25"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63"/>
      <c r="S181" s="63"/>
    </row>
    <row r="182" spans="5:19" x14ac:dyDescent="0.25"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63"/>
      <c r="S182" s="63"/>
    </row>
    <row r="183" spans="5:19" x14ac:dyDescent="0.25"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63"/>
      <c r="S183" s="63"/>
    </row>
    <row r="184" spans="5:19" x14ac:dyDescent="0.25"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5:19" x14ac:dyDescent="0.25"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5:19" x14ac:dyDescent="0.25"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5:19" x14ac:dyDescent="0.25"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</sheetData>
  <mergeCells count="18">
    <mergeCell ref="F155:G155"/>
    <mergeCell ref="I155:K155"/>
    <mergeCell ref="M155:N155"/>
    <mergeCell ref="F157:H157"/>
    <mergeCell ref="F158:H158"/>
    <mergeCell ref="F154:G154"/>
    <mergeCell ref="I154:K154"/>
    <mergeCell ref="D8:E8"/>
    <mergeCell ref="D11:D12"/>
    <mergeCell ref="E11:E12"/>
    <mergeCell ref="F11:F12"/>
    <mergeCell ref="G11:G12"/>
    <mergeCell ref="H11:K11"/>
    <mergeCell ref="D14:K14"/>
    <mergeCell ref="D54:K54"/>
    <mergeCell ref="D94:K94"/>
    <mergeCell ref="D98:K98"/>
    <mergeCell ref="D131:K131"/>
  </mergeCells>
  <dataValidations count="2">
    <dataValidation allowBlank="1" showInputMessage="1" promptTitle="Ввод" prompt="Для выбора организации необходимо два раза нажать левую клавишу мыши!" sqref="E59 E43 E26:E27 E83 E19 E66:E67"/>
    <dataValidation type="decimal" allowBlank="1" showErrorMessage="1" errorTitle="Ошибка" error="Допускается ввод только действительных чисел!" sqref="G55:K59 G95:K97 G69:K83 G15:K19 G85:K93 G99:K130 G24:K27 G45:K53 G29:K43 G132:K152 G61:K62 G21:K22 G64:K67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85"/>
  <sheetViews>
    <sheetView topLeftCell="C7" workbookViewId="0">
      <selection activeCell="I128" sqref="I128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 x14ac:dyDescent="0.25">
      <c r="S1" s="54"/>
      <c r="T1" s="54"/>
      <c r="U1" s="54"/>
      <c r="V1" s="54"/>
      <c r="Y1" s="54"/>
      <c r="AA1" s="54"/>
      <c r="AN1" s="54"/>
      <c r="AO1" s="54"/>
      <c r="AP1" s="54"/>
      <c r="BC1" s="54"/>
      <c r="BF1" s="54"/>
      <c r="BI1" s="54"/>
      <c r="BM1" s="54"/>
      <c r="BO1" s="54"/>
      <c r="BX1" s="54"/>
      <c r="BY1" s="54"/>
      <c r="CC1" s="54"/>
    </row>
    <row r="2" spans="1:81" hidden="1" x14ac:dyDescent="0.25"/>
    <row r="3" spans="1:81" hidden="1" x14ac:dyDescent="0.25"/>
    <row r="4" spans="1:81" hidden="1" x14ac:dyDescent="0.25">
      <c r="A4" s="55"/>
      <c r="F4" s="56"/>
      <c r="G4" s="56"/>
      <c r="H4" s="56"/>
      <c r="I4" s="56"/>
      <c r="J4" s="56"/>
      <c r="K4" s="56"/>
      <c r="M4" s="56"/>
      <c r="N4" s="56"/>
      <c r="O4" s="56"/>
      <c r="P4" s="56"/>
      <c r="Q4" s="56"/>
    </row>
    <row r="5" spans="1:81" hidden="1" x14ac:dyDescent="0.25">
      <c r="A5" s="57"/>
      <c r="F5" s="1" t="s">
        <v>316</v>
      </c>
      <c r="G5" s="1" t="s">
        <v>317</v>
      </c>
      <c r="H5" s="1" t="s">
        <v>318</v>
      </c>
      <c r="I5" s="1" t="s">
        <v>319</v>
      </c>
      <c r="J5" s="1" t="s">
        <v>320</v>
      </c>
      <c r="K5" s="1" t="s">
        <v>321</v>
      </c>
      <c r="L5" s="1" t="s">
        <v>322</v>
      </c>
      <c r="M5" s="1" t="s">
        <v>323</v>
      </c>
      <c r="N5" s="1" t="s">
        <v>323</v>
      </c>
      <c r="O5" s="1" t="s">
        <v>324</v>
      </c>
      <c r="P5" s="1" t="s">
        <v>325</v>
      </c>
      <c r="Q5" s="1" t="s">
        <v>326</v>
      </c>
    </row>
    <row r="6" spans="1:81" hidden="1" x14ac:dyDescent="0.25">
      <c r="A6" s="57"/>
    </row>
    <row r="7" spans="1:81" ht="12" customHeight="1" x14ac:dyDescent="0.25">
      <c r="A7" s="57"/>
      <c r="D7" s="5"/>
      <c r="E7" s="5"/>
      <c r="F7" s="5"/>
      <c r="G7" s="5"/>
      <c r="H7" s="5"/>
      <c r="I7" s="5"/>
      <c r="J7" s="5"/>
      <c r="K7" s="58"/>
      <c r="Q7" s="66"/>
    </row>
    <row r="8" spans="1:81" ht="22.5" customHeight="1" x14ac:dyDescent="0.25">
      <c r="A8" s="57"/>
      <c r="D8" s="104" t="s">
        <v>0</v>
      </c>
      <c r="E8" s="10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81" x14ac:dyDescent="0.25">
      <c r="A9" s="57"/>
      <c r="D9" s="73">
        <v>44317</v>
      </c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81" ht="12" customHeight="1" x14ac:dyDescent="0.25">
      <c r="D10" s="4"/>
      <c r="E10" s="4"/>
      <c r="F10" s="5"/>
      <c r="G10" s="5"/>
      <c r="H10" s="5"/>
      <c r="I10" s="5"/>
      <c r="K10" s="6" t="s">
        <v>1</v>
      </c>
    </row>
    <row r="11" spans="1:81" ht="15" customHeight="1" x14ac:dyDescent="0.25">
      <c r="C11" s="5"/>
      <c r="D11" s="105" t="s">
        <v>2</v>
      </c>
      <c r="E11" s="102" t="s">
        <v>3</v>
      </c>
      <c r="F11" s="102" t="s">
        <v>4</v>
      </c>
      <c r="G11" s="102" t="s">
        <v>5</v>
      </c>
      <c r="H11" s="102" t="s">
        <v>6</v>
      </c>
      <c r="I11" s="102"/>
      <c r="J11" s="102"/>
      <c r="K11" s="103"/>
      <c r="L11" s="59"/>
    </row>
    <row r="12" spans="1:81" ht="15" customHeight="1" x14ac:dyDescent="0.25">
      <c r="C12" s="5"/>
      <c r="D12" s="106"/>
      <c r="E12" s="107"/>
      <c r="F12" s="107"/>
      <c r="G12" s="107"/>
      <c r="H12" s="76" t="s">
        <v>7</v>
      </c>
      <c r="I12" s="76" t="s">
        <v>8</v>
      </c>
      <c r="J12" s="76" t="s">
        <v>9</v>
      </c>
      <c r="K12" s="7" t="s">
        <v>10</v>
      </c>
      <c r="L12" s="59"/>
    </row>
    <row r="13" spans="1:81" ht="12" customHeight="1" x14ac:dyDescent="0.25">
      <c r="D13" s="8">
        <v>0</v>
      </c>
      <c r="E13" s="8">
        <v>1</v>
      </c>
      <c r="F13" s="8">
        <v>2</v>
      </c>
      <c r="G13" s="8">
        <v>3</v>
      </c>
      <c r="H13" s="8">
        <v>4</v>
      </c>
      <c r="I13" s="8">
        <v>5</v>
      </c>
      <c r="J13" s="8">
        <v>6</v>
      </c>
      <c r="K13" s="8">
        <v>7</v>
      </c>
    </row>
    <row r="14" spans="1:81" s="60" customFormat="1" ht="15" customHeight="1" x14ac:dyDescent="0.25">
      <c r="C14" s="9"/>
      <c r="D14" s="99" t="s">
        <v>11</v>
      </c>
      <c r="E14" s="100"/>
      <c r="F14" s="100"/>
      <c r="G14" s="100"/>
      <c r="H14" s="100"/>
      <c r="I14" s="100"/>
      <c r="J14" s="100"/>
      <c r="K14" s="101"/>
      <c r="L14" s="61"/>
    </row>
    <row r="15" spans="1:81" s="60" customFormat="1" ht="15" customHeight="1" x14ac:dyDescent="0.2">
      <c r="C15" s="9"/>
      <c r="D15" s="10" t="s">
        <v>12</v>
      </c>
      <c r="E15" s="11" t="s">
        <v>13</v>
      </c>
      <c r="F15" s="12">
        <v>10</v>
      </c>
      <c r="G15" s="13">
        <f>SUM(H15:K15)</f>
        <v>5480.2219999999998</v>
      </c>
      <c r="H15" s="13">
        <f>H16+H17+H20+H23</f>
        <v>812.99099999999999</v>
      </c>
      <c r="I15" s="13">
        <f>I16+I17+I20+I23</f>
        <v>3974.4290000000001</v>
      </c>
      <c r="J15" s="13">
        <f>J16+J17+J20+J23</f>
        <v>692.80200000000002</v>
      </c>
      <c r="K15" s="13">
        <f>K16+K17+K20+K23</f>
        <v>0</v>
      </c>
      <c r="L15" s="61"/>
      <c r="M15" s="49"/>
      <c r="P15" s="67">
        <v>10</v>
      </c>
    </row>
    <row r="16" spans="1:81" s="60" customFormat="1" ht="15" customHeight="1" x14ac:dyDescent="0.2">
      <c r="C16" s="9"/>
      <c r="D16" s="10" t="s">
        <v>14</v>
      </c>
      <c r="E16" s="14" t="s">
        <v>15</v>
      </c>
      <c r="F16" s="12">
        <v>20</v>
      </c>
      <c r="G16" s="13">
        <f t="shared" ref="G16:G136" si="0">SUM(H16:K16)</f>
        <v>0</v>
      </c>
      <c r="H16" s="15"/>
      <c r="I16" s="15"/>
      <c r="J16" s="15"/>
      <c r="K16" s="15"/>
      <c r="L16" s="61"/>
      <c r="M16" s="49"/>
      <c r="P16" s="67">
        <v>20</v>
      </c>
    </row>
    <row r="17" spans="3:16" s="60" customFormat="1" ht="12.75" x14ac:dyDescent="0.2">
      <c r="C17" s="9"/>
      <c r="D17" s="10" t="s">
        <v>16</v>
      </c>
      <c r="E17" s="14" t="s">
        <v>17</v>
      </c>
      <c r="F17" s="12">
        <v>30</v>
      </c>
      <c r="G17" s="13">
        <f t="shared" si="0"/>
        <v>0</v>
      </c>
      <c r="H17" s="13">
        <f>SUM(H18:H19)</f>
        <v>0</v>
      </c>
      <c r="I17" s="13">
        <f>SUM(I18:I19)</f>
        <v>0</v>
      </c>
      <c r="J17" s="13">
        <f>SUM(J18:J19)</f>
        <v>0</v>
      </c>
      <c r="K17" s="13">
        <f>SUM(K18:K19)</f>
        <v>0</v>
      </c>
      <c r="L17" s="61"/>
      <c r="M17" s="49"/>
      <c r="P17" s="67">
        <v>30</v>
      </c>
    </row>
    <row r="18" spans="3:16" s="60" customFormat="1" ht="12.75" x14ac:dyDescent="0.2">
      <c r="C18" s="9"/>
      <c r="D18" s="16" t="s">
        <v>18</v>
      </c>
      <c r="E18" s="17"/>
      <c r="F18" s="18" t="s">
        <v>19</v>
      </c>
      <c r="G18" s="19"/>
      <c r="H18" s="19"/>
      <c r="I18" s="19"/>
      <c r="J18" s="19"/>
      <c r="K18" s="19"/>
      <c r="L18" s="61"/>
      <c r="M18" s="49"/>
      <c r="P18" s="67"/>
    </row>
    <row r="19" spans="3:16" s="60" customFormat="1" ht="12.75" x14ac:dyDescent="0.2">
      <c r="C19" s="9"/>
      <c r="D19" s="20"/>
      <c r="E19" s="21" t="s">
        <v>20</v>
      </c>
      <c r="F19" s="22"/>
      <c r="G19" s="22"/>
      <c r="H19" s="22"/>
      <c r="I19" s="22"/>
      <c r="J19" s="22"/>
      <c r="K19" s="23"/>
      <c r="L19" s="61"/>
      <c r="M19" s="49"/>
      <c r="P19" s="68"/>
    </row>
    <row r="20" spans="3:16" s="60" customFormat="1" ht="12.75" x14ac:dyDescent="0.2">
      <c r="C20" s="9"/>
      <c r="D20" s="10" t="s">
        <v>21</v>
      </c>
      <c r="E20" s="14" t="s">
        <v>22</v>
      </c>
      <c r="F20" s="12" t="s">
        <v>23</v>
      </c>
      <c r="G20" s="13">
        <f t="shared" si="0"/>
        <v>0</v>
      </c>
      <c r="H20" s="13">
        <f>SUM(H21:H22)</f>
        <v>0</v>
      </c>
      <c r="I20" s="13">
        <f>SUM(I21:I22)</f>
        <v>0</v>
      </c>
      <c r="J20" s="13">
        <f>SUM(J21:J22)</f>
        <v>0</v>
      </c>
      <c r="K20" s="13">
        <f>SUM(K21:K22)</f>
        <v>0</v>
      </c>
      <c r="L20" s="61"/>
      <c r="M20" s="49"/>
      <c r="P20" s="68"/>
    </row>
    <row r="21" spans="3:16" s="60" customFormat="1" ht="12.75" x14ac:dyDescent="0.2">
      <c r="C21" s="9"/>
      <c r="D21" s="16" t="s">
        <v>24</v>
      </c>
      <c r="E21" s="17"/>
      <c r="F21" s="18" t="s">
        <v>23</v>
      </c>
      <c r="G21" s="19"/>
      <c r="H21" s="19"/>
      <c r="I21" s="19"/>
      <c r="J21" s="19"/>
      <c r="K21" s="19"/>
      <c r="L21" s="61"/>
      <c r="M21" s="49"/>
      <c r="P21" s="67"/>
    </row>
    <row r="22" spans="3:16" s="60" customFormat="1" ht="12.75" x14ac:dyDescent="0.2">
      <c r="C22" s="9"/>
      <c r="D22" s="20"/>
      <c r="E22" s="21" t="s">
        <v>20</v>
      </c>
      <c r="F22" s="22"/>
      <c r="G22" s="22"/>
      <c r="H22" s="22"/>
      <c r="I22" s="22"/>
      <c r="J22" s="22"/>
      <c r="K22" s="23"/>
      <c r="L22" s="61"/>
      <c r="M22" s="49"/>
      <c r="P22" s="68"/>
    </row>
    <row r="23" spans="3:16" s="60" customFormat="1" ht="12.75" x14ac:dyDescent="0.2">
      <c r="C23" s="9"/>
      <c r="D23" s="10" t="s">
        <v>25</v>
      </c>
      <c r="E23" s="14" t="s">
        <v>26</v>
      </c>
      <c r="F23" s="12" t="s">
        <v>27</v>
      </c>
      <c r="G23" s="13">
        <f t="shared" si="0"/>
        <v>5480.2219999999998</v>
      </c>
      <c r="H23" s="13">
        <f>SUM(H24:H27)</f>
        <v>812.99099999999999</v>
      </c>
      <c r="I23" s="13">
        <f>SUM(I24:I27)</f>
        <v>3974.4290000000001</v>
      </c>
      <c r="J23" s="13">
        <f>SUM(J24:J27)</f>
        <v>692.80200000000002</v>
      </c>
      <c r="K23" s="13">
        <f>SUM(K24:K27)</f>
        <v>0</v>
      </c>
      <c r="L23" s="61"/>
      <c r="M23" s="49"/>
      <c r="P23" s="67">
        <v>40</v>
      </c>
    </row>
    <row r="24" spans="3:16" s="60" customFormat="1" ht="12.75" x14ac:dyDescent="0.2">
      <c r="C24" s="9"/>
      <c r="D24" s="16" t="s">
        <v>28</v>
      </c>
      <c r="E24" s="17"/>
      <c r="F24" s="18" t="s">
        <v>27</v>
      </c>
      <c r="G24" s="19"/>
      <c r="H24" s="19"/>
      <c r="I24" s="19"/>
      <c r="J24" s="19"/>
      <c r="K24" s="19"/>
      <c r="L24" s="61"/>
      <c r="M24" s="49"/>
      <c r="P24" s="67"/>
    </row>
    <row r="25" spans="3:16" s="60" customFormat="1" ht="15" x14ac:dyDescent="0.25">
      <c r="C25" s="24" t="s">
        <v>29</v>
      </c>
      <c r="D25" s="25" t="s">
        <v>30</v>
      </c>
      <c r="E25" s="26" t="s">
        <v>344</v>
      </c>
      <c r="F25" s="27">
        <v>431</v>
      </c>
      <c r="G25" s="28">
        <f>SUM(H25:K25)</f>
        <v>5181.4490000000005</v>
      </c>
      <c r="H25" s="29">
        <v>812.99099999999999</v>
      </c>
      <c r="I25" s="29">
        <v>3974.4290000000001</v>
      </c>
      <c r="J25" s="29">
        <v>394.029</v>
      </c>
      <c r="K25" s="30"/>
      <c r="L25" s="61"/>
      <c r="M25" s="69" t="s">
        <v>327</v>
      </c>
      <c r="N25" s="70" t="s">
        <v>328</v>
      </c>
      <c r="O25" s="70" t="s">
        <v>329</v>
      </c>
    </row>
    <row r="26" spans="3:16" s="60" customFormat="1" ht="15" x14ac:dyDescent="0.25">
      <c r="C26" s="24" t="s">
        <v>29</v>
      </c>
      <c r="D26" s="25" t="s">
        <v>342</v>
      </c>
      <c r="E26" s="26" t="s">
        <v>68</v>
      </c>
      <c r="F26" s="27">
        <v>432</v>
      </c>
      <c r="G26" s="28">
        <f>SUM(H26:K26)</f>
        <v>298.77300000000002</v>
      </c>
      <c r="H26" s="29"/>
      <c r="I26" s="29"/>
      <c r="J26" s="29">
        <v>298.77300000000002</v>
      </c>
      <c r="K26" s="30"/>
      <c r="L26" s="61"/>
      <c r="M26" s="69" t="s">
        <v>330</v>
      </c>
      <c r="N26" s="70" t="s">
        <v>328</v>
      </c>
      <c r="O26" s="70" t="s">
        <v>332</v>
      </c>
    </row>
    <row r="27" spans="3:16" s="60" customFormat="1" ht="12.75" x14ac:dyDescent="0.2">
      <c r="C27" s="9"/>
      <c r="D27" s="20"/>
      <c r="E27" s="21" t="s">
        <v>20</v>
      </c>
      <c r="F27" s="22"/>
      <c r="G27" s="22"/>
      <c r="H27" s="22"/>
      <c r="I27" s="22"/>
      <c r="J27" s="22"/>
      <c r="K27" s="23"/>
      <c r="L27" s="61"/>
      <c r="M27" s="49"/>
      <c r="P27" s="67"/>
    </row>
    <row r="28" spans="3:16" s="60" customFormat="1" ht="12.75" x14ac:dyDescent="0.2">
      <c r="C28" s="9"/>
      <c r="D28" s="10" t="s">
        <v>31</v>
      </c>
      <c r="E28" s="11" t="s">
        <v>32</v>
      </c>
      <c r="F28" s="12" t="s">
        <v>33</v>
      </c>
      <c r="G28" s="13">
        <f t="shared" si="0"/>
        <v>2513.1750000000006</v>
      </c>
      <c r="H28" s="13">
        <f>H30+H31+H32</f>
        <v>0</v>
      </c>
      <c r="I28" s="13">
        <f>I29+I31+I32</f>
        <v>0</v>
      </c>
      <c r="J28" s="13">
        <f>J29+J30+J32</f>
        <v>1650.2730000000001</v>
      </c>
      <c r="K28" s="13">
        <f>K29+K30+K31</f>
        <v>862.9020000000005</v>
      </c>
      <c r="L28" s="61"/>
      <c r="M28" s="49"/>
      <c r="P28" s="67">
        <v>50</v>
      </c>
    </row>
    <row r="29" spans="3:16" s="60" customFormat="1" ht="12.75" x14ac:dyDescent="0.2">
      <c r="C29" s="9"/>
      <c r="D29" s="10" t="s">
        <v>34</v>
      </c>
      <c r="E29" s="14" t="s">
        <v>7</v>
      </c>
      <c r="F29" s="12" t="s">
        <v>35</v>
      </c>
      <c r="G29" s="13">
        <f t="shared" si="0"/>
        <v>812.96299999999997</v>
      </c>
      <c r="H29" s="31"/>
      <c r="I29" s="15"/>
      <c r="J29" s="15">
        <f>H45</f>
        <v>812.96299999999997</v>
      </c>
      <c r="K29" s="15"/>
      <c r="L29" s="61"/>
      <c r="M29" s="49"/>
      <c r="P29" s="67">
        <v>60</v>
      </c>
    </row>
    <row r="30" spans="3:16" s="60" customFormat="1" ht="12.75" x14ac:dyDescent="0.2">
      <c r="C30" s="9"/>
      <c r="D30" s="10" t="s">
        <v>36</v>
      </c>
      <c r="E30" s="14" t="s">
        <v>8</v>
      </c>
      <c r="F30" s="12" t="s">
        <v>37</v>
      </c>
      <c r="G30" s="13">
        <f t="shared" si="0"/>
        <v>837.31000000000017</v>
      </c>
      <c r="H30" s="15"/>
      <c r="I30" s="31"/>
      <c r="J30" s="15">
        <f>I25-I34-I48</f>
        <v>837.31000000000017</v>
      </c>
      <c r="K30" s="15"/>
      <c r="L30" s="61"/>
      <c r="M30" s="49"/>
      <c r="P30" s="67">
        <v>70</v>
      </c>
    </row>
    <row r="31" spans="3:16" s="60" customFormat="1" ht="12.75" x14ac:dyDescent="0.2">
      <c r="C31" s="9"/>
      <c r="D31" s="10" t="s">
        <v>38</v>
      </c>
      <c r="E31" s="14" t="s">
        <v>9</v>
      </c>
      <c r="F31" s="12" t="s">
        <v>39</v>
      </c>
      <c r="G31" s="13">
        <f t="shared" si="0"/>
        <v>862.9020000000005</v>
      </c>
      <c r="H31" s="15"/>
      <c r="I31" s="15"/>
      <c r="J31" s="31"/>
      <c r="K31" s="15">
        <f>J23+J28+J17-J48-J34</f>
        <v>862.9020000000005</v>
      </c>
      <c r="L31" s="61"/>
      <c r="M31" s="49"/>
      <c r="P31" s="67">
        <v>80</v>
      </c>
    </row>
    <row r="32" spans="3:16" s="60" customFormat="1" ht="12.75" x14ac:dyDescent="0.2">
      <c r="C32" s="9"/>
      <c r="D32" s="10" t="s">
        <v>40</v>
      </c>
      <c r="E32" s="14" t="s">
        <v>41</v>
      </c>
      <c r="F32" s="12" t="s">
        <v>42</v>
      </c>
      <c r="G32" s="13">
        <f t="shared" si="0"/>
        <v>0</v>
      </c>
      <c r="H32" s="15"/>
      <c r="I32" s="15"/>
      <c r="J32" s="15"/>
      <c r="K32" s="31"/>
      <c r="L32" s="61"/>
      <c r="M32" s="49"/>
      <c r="P32" s="67">
        <v>90</v>
      </c>
    </row>
    <row r="33" spans="3:16" s="60" customFormat="1" ht="12.75" x14ac:dyDescent="0.2">
      <c r="C33" s="9"/>
      <c r="D33" s="10" t="s">
        <v>43</v>
      </c>
      <c r="E33" s="32" t="s">
        <v>44</v>
      </c>
      <c r="F33" s="12" t="s">
        <v>45</v>
      </c>
      <c r="G33" s="13">
        <f t="shared" si="0"/>
        <v>0</v>
      </c>
      <c r="H33" s="15"/>
      <c r="I33" s="15"/>
      <c r="J33" s="15"/>
      <c r="K33" s="15"/>
      <c r="L33" s="61"/>
      <c r="M33" s="49"/>
      <c r="P33" s="67"/>
    </row>
    <row r="34" spans="3:16" s="60" customFormat="1" ht="12.75" x14ac:dyDescent="0.2">
      <c r="C34" s="9"/>
      <c r="D34" s="10" t="s">
        <v>46</v>
      </c>
      <c r="E34" s="11" t="s">
        <v>47</v>
      </c>
      <c r="F34" s="33" t="s">
        <v>48</v>
      </c>
      <c r="G34" s="13">
        <f t="shared" si="0"/>
        <v>5402.0619999999999</v>
      </c>
      <c r="H34" s="13">
        <f>H35+H37+H40+H44</f>
        <v>0</v>
      </c>
      <c r="I34" s="13">
        <f>I35+I37+I40+I44</f>
        <v>3070.761</v>
      </c>
      <c r="J34" s="13">
        <f>J35+J37+J40+J44</f>
        <v>1469.203</v>
      </c>
      <c r="K34" s="13">
        <f>K35+K37+K40+K44</f>
        <v>862.09799999999996</v>
      </c>
      <c r="L34" s="61"/>
      <c r="M34" s="49"/>
      <c r="P34" s="67">
        <v>100</v>
      </c>
    </row>
    <row r="35" spans="3:16" s="60" customFormat="1" ht="22.5" x14ac:dyDescent="0.2">
      <c r="C35" s="9"/>
      <c r="D35" s="10" t="s">
        <v>49</v>
      </c>
      <c r="E35" s="14" t="s">
        <v>50</v>
      </c>
      <c r="F35" s="12" t="s">
        <v>51</v>
      </c>
      <c r="G35" s="13">
        <f t="shared" si="0"/>
        <v>0</v>
      </c>
      <c r="H35" s="15"/>
      <c r="I35" s="15"/>
      <c r="J35" s="15"/>
      <c r="K35" s="15"/>
      <c r="L35" s="61"/>
      <c r="M35" s="49"/>
      <c r="P35" s="67"/>
    </row>
    <row r="36" spans="3:16" s="60" customFormat="1" ht="12.75" x14ac:dyDescent="0.2">
      <c r="C36" s="9"/>
      <c r="D36" s="10" t="s">
        <v>52</v>
      </c>
      <c r="E36" s="34" t="s">
        <v>53</v>
      </c>
      <c r="F36" s="12" t="s">
        <v>54</v>
      </c>
      <c r="G36" s="13">
        <f t="shared" si="0"/>
        <v>0</v>
      </c>
      <c r="H36" s="15"/>
      <c r="I36" s="15"/>
      <c r="J36" s="15"/>
      <c r="K36" s="15"/>
      <c r="L36" s="61"/>
      <c r="M36" s="49"/>
      <c r="P36" s="67"/>
    </row>
    <row r="37" spans="3:16" s="60" customFormat="1" ht="12.75" x14ac:dyDescent="0.2">
      <c r="C37" s="9"/>
      <c r="D37" s="10" t="s">
        <v>55</v>
      </c>
      <c r="E37" s="14" t="s">
        <v>56</v>
      </c>
      <c r="F37" s="12" t="s">
        <v>57</v>
      </c>
      <c r="G37" s="13">
        <f t="shared" si="0"/>
        <v>3017.3739999999998</v>
      </c>
      <c r="H37" s="15">
        <v>0</v>
      </c>
      <c r="I37" s="15">
        <f>3070.761-I42</f>
        <v>686.07299999999987</v>
      </c>
      <c r="J37" s="15">
        <v>1469.203</v>
      </c>
      <c r="K37" s="15">
        <v>862.09799999999996</v>
      </c>
      <c r="L37" s="61"/>
      <c r="M37" s="49"/>
      <c r="P37" s="67"/>
    </row>
    <row r="38" spans="3:16" s="60" customFormat="1" ht="12.75" x14ac:dyDescent="0.2">
      <c r="C38" s="9"/>
      <c r="D38" s="10" t="s">
        <v>58</v>
      </c>
      <c r="E38" s="34" t="s">
        <v>59</v>
      </c>
      <c r="F38" s="12" t="s">
        <v>60</v>
      </c>
      <c r="G38" s="13">
        <f t="shared" si="0"/>
        <v>0</v>
      </c>
      <c r="H38" s="15"/>
      <c r="I38" s="15"/>
      <c r="J38" s="15"/>
      <c r="K38" s="15"/>
      <c r="L38" s="61"/>
      <c r="M38" s="49"/>
      <c r="P38" s="67"/>
    </row>
    <row r="39" spans="3:16" s="60" customFormat="1" ht="12.75" x14ac:dyDescent="0.2">
      <c r="C39" s="9"/>
      <c r="D39" s="10" t="s">
        <v>61</v>
      </c>
      <c r="E39" s="35" t="s">
        <v>53</v>
      </c>
      <c r="F39" s="12" t="s">
        <v>62</v>
      </c>
      <c r="G39" s="13">
        <f t="shared" si="0"/>
        <v>0</v>
      </c>
      <c r="H39" s="15"/>
      <c r="I39" s="15"/>
      <c r="J39" s="15"/>
      <c r="K39" s="15"/>
      <c r="L39" s="61"/>
      <c r="M39" s="49"/>
      <c r="P39" s="67"/>
    </row>
    <row r="40" spans="3:16" s="60" customFormat="1" ht="12.75" x14ac:dyDescent="0.2">
      <c r="C40" s="9"/>
      <c r="D40" s="10" t="s">
        <v>63</v>
      </c>
      <c r="E40" s="14" t="s">
        <v>64</v>
      </c>
      <c r="F40" s="12" t="s">
        <v>65</v>
      </c>
      <c r="G40" s="13">
        <f t="shared" si="0"/>
        <v>2384.6880000000001</v>
      </c>
      <c r="H40" s="13">
        <f>SUM(H41:H43)</f>
        <v>0</v>
      </c>
      <c r="I40" s="13">
        <f>SUM(I41:I43)</f>
        <v>2384.6880000000001</v>
      </c>
      <c r="J40" s="13">
        <f>SUM(J41:J43)</f>
        <v>0</v>
      </c>
      <c r="K40" s="13">
        <f>SUM(K41:K43)</f>
        <v>0</v>
      </c>
      <c r="L40" s="61"/>
      <c r="M40" s="49"/>
      <c r="P40" s="67"/>
    </row>
    <row r="41" spans="3:16" s="60" customFormat="1" ht="12.75" x14ac:dyDescent="0.2">
      <c r="C41" s="9"/>
      <c r="D41" s="16" t="s">
        <v>66</v>
      </c>
      <c r="E41" s="17"/>
      <c r="F41" s="18" t="s">
        <v>65</v>
      </c>
      <c r="G41" s="19"/>
      <c r="H41" s="19"/>
      <c r="I41" s="19"/>
      <c r="J41" s="19"/>
      <c r="K41" s="19"/>
      <c r="L41" s="61"/>
      <c r="M41" s="49"/>
      <c r="P41" s="67"/>
    </row>
    <row r="42" spans="3:16" s="60" customFormat="1" ht="15" x14ac:dyDescent="0.25">
      <c r="C42" s="24" t="s">
        <v>29</v>
      </c>
      <c r="D42" s="25" t="s">
        <v>67</v>
      </c>
      <c r="E42" s="26" t="s">
        <v>68</v>
      </c>
      <c r="F42" s="27">
        <v>751</v>
      </c>
      <c r="G42" s="28">
        <f>SUM(H42:K42)</f>
        <v>2384.6880000000001</v>
      </c>
      <c r="H42" s="29"/>
      <c r="I42" s="29">
        <v>2384.6880000000001</v>
      </c>
      <c r="J42" s="29"/>
      <c r="K42" s="30"/>
      <c r="L42" s="61"/>
      <c r="M42" s="69" t="s">
        <v>330</v>
      </c>
      <c r="N42" s="70" t="s">
        <v>331</v>
      </c>
      <c r="O42" s="70" t="s">
        <v>332</v>
      </c>
    </row>
    <row r="43" spans="3:16" s="60" customFormat="1" ht="12.75" x14ac:dyDescent="0.2">
      <c r="C43" s="9"/>
      <c r="D43" s="36"/>
      <c r="E43" s="21" t="s">
        <v>20</v>
      </c>
      <c r="F43" s="22"/>
      <c r="G43" s="22"/>
      <c r="H43" s="22"/>
      <c r="I43" s="22"/>
      <c r="J43" s="22"/>
      <c r="K43" s="23"/>
      <c r="L43" s="61"/>
      <c r="M43" s="49"/>
      <c r="P43" s="67"/>
    </row>
    <row r="44" spans="3:16" s="60" customFormat="1" ht="12.75" x14ac:dyDescent="0.2">
      <c r="C44" s="9"/>
      <c r="D44" s="10" t="s">
        <v>69</v>
      </c>
      <c r="E44" s="37" t="s">
        <v>70</v>
      </c>
      <c r="F44" s="12" t="s">
        <v>71</v>
      </c>
      <c r="G44" s="13">
        <f t="shared" si="0"/>
        <v>0</v>
      </c>
      <c r="H44" s="15"/>
      <c r="I44" s="15"/>
      <c r="J44" s="15"/>
      <c r="K44" s="15"/>
      <c r="L44" s="61"/>
      <c r="M44" s="49"/>
      <c r="P44" s="67">
        <v>120</v>
      </c>
    </row>
    <row r="45" spans="3:16" s="60" customFormat="1" ht="12.75" x14ac:dyDescent="0.2">
      <c r="C45" s="9"/>
      <c r="D45" s="10" t="s">
        <v>72</v>
      </c>
      <c r="E45" s="11" t="s">
        <v>73</v>
      </c>
      <c r="F45" s="12" t="s">
        <v>74</v>
      </c>
      <c r="G45" s="13">
        <f t="shared" si="0"/>
        <v>2513.1750000000006</v>
      </c>
      <c r="H45" s="15">
        <f>H25-H48-H34</f>
        <v>812.96299999999997</v>
      </c>
      <c r="I45" s="15">
        <f>I15-I34-I48</f>
        <v>837.31000000000017</v>
      </c>
      <c r="J45" s="15">
        <f>J23+J28+J17-J34-J48</f>
        <v>862.90200000000027</v>
      </c>
      <c r="K45" s="15">
        <f>K31-K34-K48</f>
        <v>5.4201088062200142E-13</v>
      </c>
      <c r="L45" s="61"/>
      <c r="M45" s="49"/>
      <c r="P45" s="67">
        <v>150</v>
      </c>
    </row>
    <row r="46" spans="3:16" s="60" customFormat="1" ht="12.75" x14ac:dyDescent="0.2">
      <c r="C46" s="9"/>
      <c r="D46" s="10" t="s">
        <v>75</v>
      </c>
      <c r="E46" s="11" t="s">
        <v>76</v>
      </c>
      <c r="F46" s="12" t="s">
        <v>77</v>
      </c>
      <c r="G46" s="13">
        <f t="shared" si="0"/>
        <v>0</v>
      </c>
      <c r="H46" s="15"/>
      <c r="I46" s="15"/>
      <c r="J46" s="15"/>
      <c r="K46" s="15"/>
      <c r="L46" s="61"/>
      <c r="M46" s="49"/>
      <c r="P46" s="67">
        <v>160</v>
      </c>
    </row>
    <row r="47" spans="3:16" s="60" customFormat="1" ht="12.75" x14ac:dyDescent="0.2">
      <c r="C47" s="9"/>
      <c r="D47" s="10" t="s">
        <v>78</v>
      </c>
      <c r="E47" s="11" t="s">
        <v>79</v>
      </c>
      <c r="F47" s="12" t="s">
        <v>80</v>
      </c>
      <c r="G47" s="13">
        <f t="shared" si="0"/>
        <v>0</v>
      </c>
      <c r="H47" s="15"/>
      <c r="I47" s="15"/>
      <c r="J47" s="15"/>
      <c r="K47" s="15"/>
      <c r="L47" s="61"/>
      <c r="M47" s="49"/>
      <c r="P47" s="67">
        <v>180</v>
      </c>
    </row>
    <row r="48" spans="3:16" s="60" customFormat="1" ht="12.75" x14ac:dyDescent="0.2">
      <c r="C48" s="9"/>
      <c r="D48" s="10" t="s">
        <v>81</v>
      </c>
      <c r="E48" s="11" t="s">
        <v>82</v>
      </c>
      <c r="F48" s="12" t="s">
        <v>83</v>
      </c>
      <c r="G48" s="13">
        <f t="shared" si="0"/>
        <v>78.160000000000011</v>
      </c>
      <c r="H48" s="15">
        <v>2.8000000000000001E-2</v>
      </c>
      <c r="I48" s="15">
        <v>66.358000000000004</v>
      </c>
      <c r="J48" s="15">
        <v>10.97</v>
      </c>
      <c r="K48" s="15">
        <v>0.80400000000000005</v>
      </c>
      <c r="L48" s="61"/>
      <c r="M48" s="49"/>
      <c r="P48" s="67">
        <v>190</v>
      </c>
    </row>
    <row r="49" spans="3:16" s="60" customFormat="1" ht="12.75" x14ac:dyDescent="0.2">
      <c r="C49" s="9"/>
      <c r="D49" s="10" t="s">
        <v>84</v>
      </c>
      <c r="E49" s="14" t="s">
        <v>85</v>
      </c>
      <c r="F49" s="12" t="s">
        <v>86</v>
      </c>
      <c r="G49" s="13">
        <f t="shared" si="0"/>
        <v>0</v>
      </c>
      <c r="H49" s="15"/>
      <c r="I49" s="15"/>
      <c r="J49" s="15"/>
      <c r="K49" s="15"/>
      <c r="L49" s="61"/>
      <c r="M49" s="49"/>
      <c r="P49" s="67">
        <v>200</v>
      </c>
    </row>
    <row r="50" spans="3:16" s="60" customFormat="1" ht="22.5" x14ac:dyDescent="0.2">
      <c r="C50" s="9"/>
      <c r="D50" s="10" t="s">
        <v>87</v>
      </c>
      <c r="E50" s="11" t="s">
        <v>88</v>
      </c>
      <c r="F50" s="12" t="s">
        <v>89</v>
      </c>
      <c r="G50" s="13">
        <f t="shared" si="0"/>
        <v>134.964</v>
      </c>
      <c r="H50" s="15"/>
      <c r="I50" s="15">
        <f>134.964*0.2468</f>
        <v>33.309115200000001</v>
      </c>
      <c r="J50" s="15">
        <f>134.964*0.3291</f>
        <v>44.416652399999997</v>
      </c>
      <c r="K50" s="15">
        <f>134.964*0.4241</f>
        <v>57.238232399999994</v>
      </c>
      <c r="L50" s="61"/>
      <c r="M50" s="49"/>
      <c r="P50" s="68"/>
    </row>
    <row r="51" spans="3:16" s="60" customFormat="1" ht="33.75" x14ac:dyDescent="0.2">
      <c r="C51" s="9"/>
      <c r="D51" s="10" t="s">
        <v>90</v>
      </c>
      <c r="E51" s="32" t="s">
        <v>91</v>
      </c>
      <c r="F51" s="12" t="s">
        <v>92</v>
      </c>
      <c r="G51" s="13">
        <f t="shared" si="0"/>
        <v>-56.803999999999988</v>
      </c>
      <c r="H51" s="13">
        <f>H48-H50</f>
        <v>2.8000000000000001E-2</v>
      </c>
      <c r="I51" s="13">
        <f>I48-I50</f>
        <v>33.048884800000003</v>
      </c>
      <c r="J51" s="13">
        <f>J48-J50</f>
        <v>-33.446652399999998</v>
      </c>
      <c r="K51" s="13">
        <f>K48-K50</f>
        <v>-56.434232399999992</v>
      </c>
      <c r="L51" s="61"/>
      <c r="M51" s="49"/>
      <c r="P51" s="68"/>
    </row>
    <row r="52" spans="3:16" s="60" customFormat="1" ht="12.75" x14ac:dyDescent="0.2">
      <c r="C52" s="9"/>
      <c r="D52" s="10" t="s">
        <v>93</v>
      </c>
      <c r="E52" s="11" t="s">
        <v>94</v>
      </c>
      <c r="F52" s="12" t="s">
        <v>95</v>
      </c>
      <c r="G52" s="13">
        <f t="shared" si="0"/>
        <v>0</v>
      </c>
      <c r="H52" s="13">
        <f>(H15+H28+H33)-(H34+H45+H46+H47+H48)</f>
        <v>0</v>
      </c>
      <c r="I52" s="13">
        <f>(I15+I28+I33)-(I34+I45+I46+I47+I48)</f>
        <v>0</v>
      </c>
      <c r="J52" s="13">
        <f>(J15+J28+J33)-(J34+J45+J46+J47+J48)</f>
        <v>0</v>
      </c>
      <c r="K52" s="13">
        <f>(K15+K28+K33)-(K34+K45+K46+K47+K48)</f>
        <v>0</v>
      </c>
      <c r="L52" s="61"/>
      <c r="M52" s="49"/>
      <c r="P52" s="67">
        <v>210</v>
      </c>
    </row>
    <row r="53" spans="3:16" s="60" customFormat="1" ht="12.75" x14ac:dyDescent="0.2">
      <c r="C53" s="9"/>
      <c r="D53" s="99" t="s">
        <v>96</v>
      </c>
      <c r="E53" s="100"/>
      <c r="F53" s="100"/>
      <c r="G53" s="100"/>
      <c r="H53" s="100"/>
      <c r="I53" s="100"/>
      <c r="J53" s="100"/>
      <c r="K53" s="101"/>
      <c r="L53" s="61"/>
      <c r="M53" s="49"/>
      <c r="P53" s="68"/>
    </row>
    <row r="54" spans="3:16" s="60" customFormat="1" ht="12.75" x14ac:dyDescent="0.2">
      <c r="C54" s="9"/>
      <c r="D54" s="10" t="s">
        <v>97</v>
      </c>
      <c r="E54" s="11" t="s">
        <v>13</v>
      </c>
      <c r="F54" s="12" t="s">
        <v>98</v>
      </c>
      <c r="G54" s="13">
        <f t="shared" si="0"/>
        <v>7.3658897849462361</v>
      </c>
      <c r="H54" s="13">
        <f>H55+H56+H59+H62</f>
        <v>1.0927298387096773</v>
      </c>
      <c r="I54" s="13">
        <f>I55+I56+I59+I62</f>
        <v>5.3419744623655916</v>
      </c>
      <c r="J54" s="13">
        <f>J55+J56+J59+J62</f>
        <v>0.93118548387096767</v>
      </c>
      <c r="K54" s="13">
        <f>K55+K56+K59+K62</f>
        <v>0</v>
      </c>
      <c r="L54" s="61"/>
      <c r="M54" s="49"/>
      <c r="P54" s="67">
        <v>300</v>
      </c>
    </row>
    <row r="55" spans="3:16" s="60" customFormat="1" ht="12.75" x14ac:dyDescent="0.2">
      <c r="C55" s="9"/>
      <c r="D55" s="10" t="s">
        <v>99</v>
      </c>
      <c r="E55" s="14" t="s">
        <v>15</v>
      </c>
      <c r="F55" s="12" t="s">
        <v>100</v>
      </c>
      <c r="G55" s="13">
        <f t="shared" si="0"/>
        <v>0</v>
      </c>
      <c r="H55" s="15"/>
      <c r="I55" s="15"/>
      <c r="J55" s="15"/>
      <c r="K55" s="15"/>
      <c r="L55" s="61"/>
      <c r="M55" s="49"/>
      <c r="P55" s="67">
        <v>310</v>
      </c>
    </row>
    <row r="56" spans="3:16" s="60" customFormat="1" ht="12.75" x14ac:dyDescent="0.2">
      <c r="C56" s="9"/>
      <c r="D56" s="10" t="s">
        <v>101</v>
      </c>
      <c r="E56" s="14" t="s">
        <v>17</v>
      </c>
      <c r="F56" s="12" t="s">
        <v>102</v>
      </c>
      <c r="G56" s="13">
        <f t="shared" si="0"/>
        <v>0</v>
      </c>
      <c r="H56" s="13">
        <f>SUM(H57:H58)</f>
        <v>0</v>
      </c>
      <c r="I56" s="13">
        <f>SUM(I57:I58)</f>
        <v>0</v>
      </c>
      <c r="J56" s="13">
        <f>SUM(J57:J58)</f>
        <v>0</v>
      </c>
      <c r="K56" s="13">
        <f>SUM(K57:K58)</f>
        <v>0</v>
      </c>
      <c r="L56" s="61"/>
      <c r="M56" s="49"/>
      <c r="P56" s="67">
        <v>320</v>
      </c>
    </row>
    <row r="57" spans="3:16" s="60" customFormat="1" ht="12.75" x14ac:dyDescent="0.2">
      <c r="C57" s="9"/>
      <c r="D57" s="16" t="s">
        <v>103</v>
      </c>
      <c r="E57" s="17"/>
      <c r="F57" s="18" t="s">
        <v>102</v>
      </c>
      <c r="G57" s="19"/>
      <c r="H57" s="19"/>
      <c r="I57" s="19"/>
      <c r="J57" s="19"/>
      <c r="K57" s="19"/>
      <c r="L57" s="61"/>
      <c r="M57" s="49"/>
      <c r="P57" s="67"/>
    </row>
    <row r="58" spans="3:16" s="60" customFormat="1" ht="12.75" x14ac:dyDescent="0.2">
      <c r="C58" s="9"/>
      <c r="D58" s="20"/>
      <c r="E58" s="21" t="s">
        <v>20</v>
      </c>
      <c r="F58" s="22"/>
      <c r="G58" s="22"/>
      <c r="H58" s="22"/>
      <c r="I58" s="22"/>
      <c r="J58" s="22"/>
      <c r="K58" s="23"/>
      <c r="L58" s="61"/>
      <c r="M58" s="49"/>
      <c r="P58" s="67"/>
    </row>
    <row r="59" spans="3:16" s="60" customFormat="1" ht="12.75" x14ac:dyDescent="0.2">
      <c r="C59" s="9"/>
      <c r="D59" s="10" t="s">
        <v>104</v>
      </c>
      <c r="E59" s="14" t="s">
        <v>22</v>
      </c>
      <c r="F59" s="12" t="s">
        <v>105</v>
      </c>
      <c r="G59" s="13">
        <f t="shared" si="0"/>
        <v>0</v>
      </c>
      <c r="H59" s="13">
        <f>SUM(H60:H61)</f>
        <v>0</v>
      </c>
      <c r="I59" s="13">
        <f>SUM(I60:I61)</f>
        <v>0</v>
      </c>
      <c r="J59" s="13">
        <f>SUM(J60:J61)</f>
        <v>0</v>
      </c>
      <c r="K59" s="13">
        <f>SUM(K60:K61)</f>
        <v>0</v>
      </c>
      <c r="L59" s="61"/>
      <c r="M59" s="49"/>
      <c r="P59" s="67"/>
    </row>
    <row r="60" spans="3:16" s="60" customFormat="1" ht="12.75" x14ac:dyDescent="0.2">
      <c r="C60" s="9"/>
      <c r="D60" s="16" t="s">
        <v>106</v>
      </c>
      <c r="E60" s="17"/>
      <c r="F60" s="18" t="s">
        <v>105</v>
      </c>
      <c r="G60" s="19"/>
      <c r="H60" s="19"/>
      <c r="I60" s="19"/>
      <c r="J60" s="19"/>
      <c r="K60" s="19"/>
      <c r="L60" s="61"/>
      <c r="M60" s="49"/>
      <c r="P60" s="67"/>
    </row>
    <row r="61" spans="3:16" s="60" customFormat="1" ht="12.75" x14ac:dyDescent="0.2">
      <c r="C61" s="9"/>
      <c r="D61" s="20"/>
      <c r="E61" s="21" t="s">
        <v>20</v>
      </c>
      <c r="F61" s="22"/>
      <c r="G61" s="22"/>
      <c r="H61" s="22"/>
      <c r="I61" s="22"/>
      <c r="J61" s="22"/>
      <c r="K61" s="23"/>
      <c r="L61" s="61"/>
      <c r="M61" s="49"/>
      <c r="P61" s="67"/>
    </row>
    <row r="62" spans="3:16" s="60" customFormat="1" ht="12.75" x14ac:dyDescent="0.2">
      <c r="C62" s="9"/>
      <c r="D62" s="10" t="s">
        <v>107</v>
      </c>
      <c r="E62" s="14" t="s">
        <v>26</v>
      </c>
      <c r="F62" s="12" t="s">
        <v>108</v>
      </c>
      <c r="G62" s="13">
        <f t="shared" si="0"/>
        <v>7.3658897849462361</v>
      </c>
      <c r="H62" s="13">
        <f>SUM(H63:H66)</f>
        <v>1.0927298387096773</v>
      </c>
      <c r="I62" s="13">
        <f>SUM(I63:I66)</f>
        <v>5.3419744623655916</v>
      </c>
      <c r="J62" s="13">
        <f>SUM(J63:J66)</f>
        <v>0.93118548387096767</v>
      </c>
      <c r="K62" s="13">
        <f>SUM(K63:K66)</f>
        <v>0</v>
      </c>
      <c r="L62" s="61"/>
      <c r="M62" s="49"/>
      <c r="P62" s="67">
        <v>330</v>
      </c>
    </row>
    <row r="63" spans="3:16" s="60" customFormat="1" ht="12.75" x14ac:dyDescent="0.2">
      <c r="C63" s="9"/>
      <c r="D63" s="16" t="s">
        <v>109</v>
      </c>
      <c r="E63" s="17"/>
      <c r="F63" s="18" t="s">
        <v>108</v>
      </c>
      <c r="G63" s="19"/>
      <c r="H63" s="19"/>
      <c r="I63" s="19"/>
      <c r="J63" s="19"/>
      <c r="K63" s="19"/>
      <c r="L63" s="61"/>
      <c r="M63" s="49"/>
      <c r="P63" s="67"/>
    </row>
    <row r="64" spans="3:16" s="60" customFormat="1" ht="15" x14ac:dyDescent="0.25">
      <c r="C64" s="24" t="s">
        <v>29</v>
      </c>
      <c r="D64" s="25" t="s">
        <v>110</v>
      </c>
      <c r="E64" s="26" t="s">
        <v>344</v>
      </c>
      <c r="F64" s="27">
        <v>1461</v>
      </c>
      <c r="G64" s="28">
        <f>SUM(H64:K64)</f>
        <v>6.9643131720430107</v>
      </c>
      <c r="H64" s="29">
        <f>H25/744</f>
        <v>1.0927298387096773</v>
      </c>
      <c r="I64" s="29">
        <f>I25/744</f>
        <v>5.3419744623655916</v>
      </c>
      <c r="J64" s="29">
        <f>J25/744</f>
        <v>0.5296088709677419</v>
      </c>
      <c r="K64" s="29"/>
      <c r="L64" s="61"/>
      <c r="M64" s="69" t="s">
        <v>327</v>
      </c>
      <c r="N64" s="70" t="s">
        <v>328</v>
      </c>
      <c r="O64" s="70" t="s">
        <v>329</v>
      </c>
    </row>
    <row r="65" spans="3:16" s="60" customFormat="1" ht="15" x14ac:dyDescent="0.25">
      <c r="C65" s="24" t="s">
        <v>29</v>
      </c>
      <c r="D65" s="25" t="s">
        <v>343</v>
      </c>
      <c r="E65" s="26" t="s">
        <v>68</v>
      </c>
      <c r="F65" s="27">
        <v>1462</v>
      </c>
      <c r="G65" s="28">
        <f>SUM(H65:K65)</f>
        <v>0.40157661290322583</v>
      </c>
      <c r="H65" s="29"/>
      <c r="I65" s="29"/>
      <c r="J65" s="29">
        <f>J26/744</f>
        <v>0.40157661290322583</v>
      </c>
      <c r="K65" s="30"/>
      <c r="L65" s="61"/>
      <c r="M65" s="69" t="s">
        <v>330</v>
      </c>
      <c r="N65" s="70" t="s">
        <v>328</v>
      </c>
      <c r="O65" s="70" t="s">
        <v>332</v>
      </c>
    </row>
    <row r="66" spans="3:16" s="60" customFormat="1" ht="12.75" x14ac:dyDescent="0.2">
      <c r="C66" s="9"/>
      <c r="D66" s="20"/>
      <c r="E66" s="21" t="s">
        <v>20</v>
      </c>
      <c r="F66" s="22"/>
      <c r="G66" s="22"/>
      <c r="H66" s="22"/>
      <c r="I66" s="22"/>
      <c r="J66" s="22"/>
      <c r="K66" s="23"/>
      <c r="L66" s="61"/>
      <c r="M66" s="49"/>
      <c r="P66" s="67"/>
    </row>
    <row r="67" spans="3:16" s="60" customFormat="1" ht="12.75" x14ac:dyDescent="0.2">
      <c r="C67" s="9"/>
      <c r="D67" s="10" t="s">
        <v>111</v>
      </c>
      <c r="E67" s="11" t="s">
        <v>32</v>
      </c>
      <c r="F67" s="12" t="s">
        <v>112</v>
      </c>
      <c r="G67" s="13">
        <f t="shared" si="0"/>
        <v>3.3779233870967751</v>
      </c>
      <c r="H67" s="13">
        <f>H69+H70+H71</f>
        <v>0</v>
      </c>
      <c r="I67" s="13">
        <f>I68+I70+I71</f>
        <v>0</v>
      </c>
      <c r="J67" s="13">
        <f>J68+J69+J71</f>
        <v>2.2181088709677423</v>
      </c>
      <c r="K67" s="13">
        <f>K68+K69+K70</f>
        <v>1.159814516129033</v>
      </c>
      <c r="L67" s="61"/>
      <c r="M67" s="49"/>
      <c r="P67" s="67">
        <v>340</v>
      </c>
    </row>
    <row r="68" spans="3:16" s="60" customFormat="1" ht="12.75" x14ac:dyDescent="0.2">
      <c r="C68" s="9"/>
      <c r="D68" s="10" t="s">
        <v>113</v>
      </c>
      <c r="E68" s="14" t="s">
        <v>7</v>
      </c>
      <c r="F68" s="12" t="s">
        <v>114</v>
      </c>
      <c r="G68" s="13">
        <f t="shared" si="0"/>
        <v>1.0926922043010752</v>
      </c>
      <c r="H68" s="31"/>
      <c r="I68" s="15"/>
      <c r="J68" s="15">
        <f>J29/744</f>
        <v>1.0926922043010752</v>
      </c>
      <c r="K68" s="15"/>
      <c r="L68" s="61"/>
      <c r="M68" s="49"/>
      <c r="P68" s="67">
        <v>350</v>
      </c>
    </row>
    <row r="69" spans="3:16" s="60" customFormat="1" ht="12.75" x14ac:dyDescent="0.2">
      <c r="C69" s="9"/>
      <c r="D69" s="10" t="s">
        <v>115</v>
      </c>
      <c r="E69" s="14" t="s">
        <v>8</v>
      </c>
      <c r="F69" s="12" t="s">
        <v>116</v>
      </c>
      <c r="G69" s="13">
        <f t="shared" si="0"/>
        <v>1.125416666666667</v>
      </c>
      <c r="H69" s="15"/>
      <c r="I69" s="38"/>
      <c r="J69" s="15">
        <f>J30/744</f>
        <v>1.125416666666667</v>
      </c>
      <c r="K69" s="15"/>
      <c r="L69" s="61"/>
      <c r="M69" s="49"/>
      <c r="P69" s="67">
        <v>360</v>
      </c>
    </row>
    <row r="70" spans="3:16" s="60" customFormat="1" ht="12.75" x14ac:dyDescent="0.2">
      <c r="C70" s="9"/>
      <c r="D70" s="10" t="s">
        <v>117</v>
      </c>
      <c r="E70" s="14" t="s">
        <v>9</v>
      </c>
      <c r="F70" s="12" t="s">
        <v>118</v>
      </c>
      <c r="G70" s="13">
        <f t="shared" si="0"/>
        <v>1.159814516129033</v>
      </c>
      <c r="H70" s="15"/>
      <c r="I70" s="15"/>
      <c r="J70" s="31"/>
      <c r="K70" s="15">
        <f>K31/744</f>
        <v>1.159814516129033</v>
      </c>
      <c r="L70" s="61"/>
      <c r="M70" s="49"/>
      <c r="P70" s="67">
        <v>370</v>
      </c>
    </row>
    <row r="71" spans="3:16" s="60" customFormat="1" ht="12.75" x14ac:dyDescent="0.2">
      <c r="C71" s="9"/>
      <c r="D71" s="10" t="s">
        <v>119</v>
      </c>
      <c r="E71" s="14" t="s">
        <v>41</v>
      </c>
      <c r="F71" s="12" t="s">
        <v>120</v>
      </c>
      <c r="G71" s="13">
        <f t="shared" si="0"/>
        <v>0</v>
      </c>
      <c r="H71" s="15"/>
      <c r="I71" s="15"/>
      <c r="J71" s="15"/>
      <c r="K71" s="31"/>
      <c r="L71" s="61"/>
      <c r="M71" s="49"/>
      <c r="P71" s="67">
        <v>380</v>
      </c>
    </row>
    <row r="72" spans="3:16" s="60" customFormat="1" ht="12.75" x14ac:dyDescent="0.2">
      <c r="C72" s="9"/>
      <c r="D72" s="10" t="s">
        <v>121</v>
      </c>
      <c r="E72" s="32" t="s">
        <v>44</v>
      </c>
      <c r="F72" s="12" t="s">
        <v>122</v>
      </c>
      <c r="G72" s="13">
        <f t="shared" si="0"/>
        <v>0</v>
      </c>
      <c r="H72" s="15"/>
      <c r="I72" s="15"/>
      <c r="J72" s="15"/>
      <c r="K72" s="15"/>
      <c r="L72" s="61"/>
      <c r="M72" s="49"/>
      <c r="P72" s="67"/>
    </row>
    <row r="73" spans="3:16" s="60" customFormat="1" ht="12.75" x14ac:dyDescent="0.2">
      <c r="C73" s="9"/>
      <c r="D73" s="10" t="s">
        <v>123</v>
      </c>
      <c r="E73" s="11" t="s">
        <v>47</v>
      </c>
      <c r="F73" s="33" t="s">
        <v>124</v>
      </c>
      <c r="G73" s="13">
        <f t="shared" si="0"/>
        <v>7.2608360215053764</v>
      </c>
      <c r="H73" s="13">
        <f>H74+H76+H79+H83</f>
        <v>0</v>
      </c>
      <c r="I73" s="13">
        <f>I74+I76+I79+I83</f>
        <v>4.1273669354838711</v>
      </c>
      <c r="J73" s="13">
        <f>J74+J76+J79+J83</f>
        <v>1.9747352150537634</v>
      </c>
      <c r="K73" s="13">
        <f>K74+K76+K79+K83</f>
        <v>1.1587338709677419</v>
      </c>
      <c r="L73" s="61"/>
      <c r="M73" s="49"/>
      <c r="P73" s="67">
        <v>390</v>
      </c>
    </row>
    <row r="74" spans="3:16" s="60" customFormat="1" ht="22.5" x14ac:dyDescent="0.2">
      <c r="C74" s="9"/>
      <c r="D74" s="10" t="s">
        <v>125</v>
      </c>
      <c r="E74" s="14" t="s">
        <v>50</v>
      </c>
      <c r="F74" s="12" t="s">
        <v>126</v>
      </c>
      <c r="G74" s="13">
        <f t="shared" si="0"/>
        <v>0</v>
      </c>
      <c r="H74" s="15"/>
      <c r="I74" s="15"/>
      <c r="J74" s="15"/>
      <c r="K74" s="15"/>
      <c r="L74" s="61"/>
      <c r="M74" s="49"/>
      <c r="P74" s="67"/>
    </row>
    <row r="75" spans="3:16" s="60" customFormat="1" ht="12.75" x14ac:dyDescent="0.2">
      <c r="C75" s="9"/>
      <c r="D75" s="10" t="s">
        <v>127</v>
      </c>
      <c r="E75" s="34" t="s">
        <v>53</v>
      </c>
      <c r="F75" s="12" t="s">
        <v>128</v>
      </c>
      <c r="G75" s="13">
        <f t="shared" si="0"/>
        <v>0</v>
      </c>
      <c r="H75" s="15"/>
      <c r="I75" s="15"/>
      <c r="J75" s="15"/>
      <c r="K75" s="15"/>
      <c r="L75" s="61"/>
      <c r="M75" s="49"/>
      <c r="P75" s="67"/>
    </row>
    <row r="76" spans="3:16" s="60" customFormat="1" ht="12.75" x14ac:dyDescent="0.2">
      <c r="C76" s="9"/>
      <c r="D76" s="10" t="s">
        <v>129</v>
      </c>
      <c r="E76" s="14" t="s">
        <v>56</v>
      </c>
      <c r="F76" s="12" t="s">
        <v>130</v>
      </c>
      <c r="G76" s="13">
        <f t="shared" si="0"/>
        <v>4.055610215053763</v>
      </c>
      <c r="H76" s="15">
        <f>H37/744</f>
        <v>0</v>
      </c>
      <c r="I76" s="15">
        <f>I37/744</f>
        <v>0.92214112903225787</v>
      </c>
      <c r="J76" s="15">
        <f>J37/744</f>
        <v>1.9747352150537634</v>
      </c>
      <c r="K76" s="15">
        <f>K37/744</f>
        <v>1.1587338709677419</v>
      </c>
      <c r="L76" s="61"/>
      <c r="M76" s="49"/>
      <c r="P76" s="67"/>
    </row>
    <row r="77" spans="3:16" s="60" customFormat="1" ht="12.75" x14ac:dyDescent="0.2">
      <c r="C77" s="9"/>
      <c r="D77" s="10" t="s">
        <v>131</v>
      </c>
      <c r="E77" s="34" t="s">
        <v>59</v>
      </c>
      <c r="F77" s="12" t="s">
        <v>132</v>
      </c>
      <c r="G77" s="13">
        <f t="shared" si="0"/>
        <v>0</v>
      </c>
      <c r="H77" s="15"/>
      <c r="I77" s="15"/>
      <c r="J77" s="15"/>
      <c r="K77" s="15"/>
      <c r="L77" s="61"/>
      <c r="M77" s="49"/>
      <c r="P77" s="67"/>
    </row>
    <row r="78" spans="3:16" s="60" customFormat="1" ht="12.75" x14ac:dyDescent="0.2">
      <c r="C78" s="9"/>
      <c r="D78" s="10" t="s">
        <v>133</v>
      </c>
      <c r="E78" s="35" t="s">
        <v>53</v>
      </c>
      <c r="F78" s="12" t="s">
        <v>134</v>
      </c>
      <c r="G78" s="13">
        <f t="shared" si="0"/>
        <v>0</v>
      </c>
      <c r="H78" s="15"/>
      <c r="I78" s="15"/>
      <c r="J78" s="15"/>
      <c r="K78" s="15"/>
      <c r="L78" s="61"/>
      <c r="M78" s="49"/>
      <c r="P78" s="67"/>
    </row>
    <row r="79" spans="3:16" s="60" customFormat="1" ht="12.75" x14ac:dyDescent="0.2">
      <c r="C79" s="9"/>
      <c r="D79" s="10" t="s">
        <v>135</v>
      </c>
      <c r="E79" s="14" t="s">
        <v>64</v>
      </c>
      <c r="F79" s="12" t="s">
        <v>136</v>
      </c>
      <c r="G79" s="13">
        <f t="shared" si="0"/>
        <v>3.205225806451613</v>
      </c>
      <c r="H79" s="13">
        <f>SUM(H80:H82)</f>
        <v>0</v>
      </c>
      <c r="I79" s="13">
        <f>SUM(I80:I82)</f>
        <v>3.205225806451613</v>
      </c>
      <c r="J79" s="13">
        <f>SUM(J80:J82)</f>
        <v>0</v>
      </c>
      <c r="K79" s="13">
        <f>SUM(K80:K82)</f>
        <v>0</v>
      </c>
      <c r="L79" s="61"/>
      <c r="M79" s="49"/>
      <c r="P79" s="67"/>
    </row>
    <row r="80" spans="3:16" s="60" customFormat="1" ht="12.75" x14ac:dyDescent="0.2">
      <c r="C80" s="9"/>
      <c r="D80" s="16" t="s">
        <v>137</v>
      </c>
      <c r="E80" s="17"/>
      <c r="F80" s="18" t="s">
        <v>136</v>
      </c>
      <c r="G80" s="19"/>
      <c r="H80" s="19"/>
      <c r="I80" s="19"/>
      <c r="J80" s="19"/>
      <c r="K80" s="19"/>
      <c r="L80" s="61"/>
      <c r="M80" s="49"/>
      <c r="P80" s="67"/>
    </row>
    <row r="81" spans="3:16" s="60" customFormat="1" ht="15" x14ac:dyDescent="0.25">
      <c r="C81" s="24" t="s">
        <v>29</v>
      </c>
      <c r="D81" s="25" t="s">
        <v>138</v>
      </c>
      <c r="E81" s="26" t="s">
        <v>68</v>
      </c>
      <c r="F81" s="27">
        <v>1781</v>
      </c>
      <c r="G81" s="28">
        <f>SUM(H81:K81)</f>
        <v>3.205225806451613</v>
      </c>
      <c r="H81" s="29"/>
      <c r="I81" s="29">
        <f>I42/744</f>
        <v>3.205225806451613</v>
      </c>
      <c r="J81" s="29"/>
      <c r="K81" s="30"/>
      <c r="L81" s="61"/>
      <c r="M81" s="69" t="s">
        <v>330</v>
      </c>
      <c r="N81" s="70" t="s">
        <v>331</v>
      </c>
      <c r="O81" s="70" t="s">
        <v>332</v>
      </c>
    </row>
    <row r="82" spans="3:16" s="60" customFormat="1" ht="12.75" x14ac:dyDescent="0.2">
      <c r="C82" s="9"/>
      <c r="D82" s="20"/>
      <c r="E82" s="21" t="s">
        <v>20</v>
      </c>
      <c r="F82" s="22"/>
      <c r="G82" s="22"/>
      <c r="H82" s="22"/>
      <c r="I82" s="22"/>
      <c r="J82" s="22"/>
      <c r="K82" s="23"/>
      <c r="L82" s="61"/>
      <c r="M82" s="49"/>
      <c r="P82" s="67"/>
    </row>
    <row r="83" spans="3:16" s="60" customFormat="1" ht="12.75" x14ac:dyDescent="0.2">
      <c r="C83" s="9"/>
      <c r="D83" s="10" t="s">
        <v>139</v>
      </c>
      <c r="E83" s="37" t="s">
        <v>70</v>
      </c>
      <c r="F83" s="12" t="s">
        <v>140</v>
      </c>
      <c r="G83" s="13">
        <f t="shared" si="0"/>
        <v>0</v>
      </c>
      <c r="H83" s="15"/>
      <c r="I83" s="15"/>
      <c r="J83" s="15"/>
      <c r="K83" s="15"/>
      <c r="L83" s="61"/>
      <c r="M83" s="49"/>
      <c r="P83" s="67">
        <v>410</v>
      </c>
    </row>
    <row r="84" spans="3:16" s="60" customFormat="1" ht="12.75" x14ac:dyDescent="0.2">
      <c r="C84" s="9"/>
      <c r="D84" s="10" t="s">
        <v>141</v>
      </c>
      <c r="E84" s="11" t="s">
        <v>73</v>
      </c>
      <c r="F84" s="12" t="s">
        <v>142</v>
      </c>
      <c r="G84" s="13">
        <f t="shared" si="0"/>
        <v>3.377923387096776</v>
      </c>
      <c r="H84" s="15">
        <f>H45/744</f>
        <v>1.0926922043010752</v>
      </c>
      <c r="I84" s="15">
        <f>I45/744</f>
        <v>1.125416666666667</v>
      </c>
      <c r="J84" s="15">
        <f>J45/744</f>
        <v>1.1598145161290325</v>
      </c>
      <c r="K84" s="15">
        <f>K45/744</f>
        <v>7.2850924814785134E-16</v>
      </c>
      <c r="L84" s="61"/>
      <c r="M84" s="49"/>
      <c r="P84" s="67">
        <v>440</v>
      </c>
    </row>
    <row r="85" spans="3:16" s="60" customFormat="1" ht="12.75" x14ac:dyDescent="0.2">
      <c r="C85" s="9"/>
      <c r="D85" s="10" t="s">
        <v>143</v>
      </c>
      <c r="E85" s="11" t="s">
        <v>76</v>
      </c>
      <c r="F85" s="12" t="s">
        <v>144</v>
      </c>
      <c r="G85" s="13">
        <f t="shared" si="0"/>
        <v>0</v>
      </c>
      <c r="H85" s="15"/>
      <c r="I85" s="15"/>
      <c r="J85" s="15"/>
      <c r="K85" s="15"/>
      <c r="L85" s="61"/>
      <c r="M85" s="49"/>
      <c r="P85" s="67">
        <v>450</v>
      </c>
    </row>
    <row r="86" spans="3:16" s="60" customFormat="1" ht="12.75" x14ac:dyDescent="0.2">
      <c r="C86" s="9"/>
      <c r="D86" s="10" t="s">
        <v>145</v>
      </c>
      <c r="E86" s="11" t="s">
        <v>79</v>
      </c>
      <c r="F86" s="12" t="s">
        <v>146</v>
      </c>
      <c r="G86" s="13">
        <f t="shared" si="0"/>
        <v>0</v>
      </c>
      <c r="H86" s="15"/>
      <c r="I86" s="15"/>
      <c r="J86" s="15"/>
      <c r="K86" s="15"/>
      <c r="L86" s="61"/>
      <c r="M86" s="49"/>
      <c r="P86" s="67">
        <v>470</v>
      </c>
    </row>
    <row r="87" spans="3:16" s="60" customFormat="1" ht="12.75" x14ac:dyDescent="0.2">
      <c r="C87" s="9"/>
      <c r="D87" s="10" t="s">
        <v>147</v>
      </c>
      <c r="E87" s="11" t="s">
        <v>82</v>
      </c>
      <c r="F87" s="12" t="s">
        <v>148</v>
      </c>
      <c r="G87" s="13">
        <f t="shared" si="0"/>
        <v>0.1050537634408602</v>
      </c>
      <c r="H87" s="15">
        <f>H48/744</f>
        <v>3.763440860215054E-5</v>
      </c>
      <c r="I87" s="15">
        <f>I48/744</f>
        <v>8.9190860215053763E-2</v>
      </c>
      <c r="J87" s="15">
        <f>J48/744</f>
        <v>1.4744623655913979E-2</v>
      </c>
      <c r="K87" s="15">
        <f>K48/744</f>
        <v>1.0806451612903225E-3</v>
      </c>
      <c r="L87" s="61"/>
      <c r="M87" s="49"/>
      <c r="P87" s="67">
        <v>480</v>
      </c>
    </row>
    <row r="88" spans="3:16" s="60" customFormat="1" ht="12.75" x14ac:dyDescent="0.2">
      <c r="C88" s="9"/>
      <c r="D88" s="10" t="s">
        <v>149</v>
      </c>
      <c r="E88" s="14" t="s">
        <v>150</v>
      </c>
      <c r="F88" s="12" t="s">
        <v>151</v>
      </c>
      <c r="G88" s="13">
        <f t="shared" si="0"/>
        <v>0</v>
      </c>
      <c r="H88" s="15"/>
      <c r="I88" s="15"/>
      <c r="J88" s="15"/>
      <c r="K88" s="15"/>
      <c r="L88" s="61"/>
      <c r="M88" s="49"/>
      <c r="P88" s="67">
        <v>490</v>
      </c>
    </row>
    <row r="89" spans="3:16" s="60" customFormat="1" ht="22.5" x14ac:dyDescent="0.2">
      <c r="C89" s="9"/>
      <c r="D89" s="10" t="s">
        <v>152</v>
      </c>
      <c r="E89" s="11" t="s">
        <v>88</v>
      </c>
      <c r="F89" s="12" t="s">
        <v>153</v>
      </c>
      <c r="G89" s="13">
        <f t="shared" si="0"/>
        <v>0.1814032258064516</v>
      </c>
      <c r="H89" s="15"/>
      <c r="I89" s="15">
        <f>I50/744</f>
        <v>4.4770316129032262E-2</v>
      </c>
      <c r="J89" s="15">
        <f>J50/744</f>
        <v>5.9699801612903218E-2</v>
      </c>
      <c r="K89" s="15">
        <f>K50/744</f>
        <v>7.6933108064516115E-2</v>
      </c>
      <c r="L89" s="61"/>
      <c r="M89" s="49"/>
      <c r="P89" s="67"/>
    </row>
    <row r="90" spans="3:16" s="60" customFormat="1" ht="33.75" x14ac:dyDescent="0.2">
      <c r="C90" s="9"/>
      <c r="D90" s="10" t="s">
        <v>154</v>
      </c>
      <c r="E90" s="32" t="s">
        <v>91</v>
      </c>
      <c r="F90" s="12" t="s">
        <v>155</v>
      </c>
      <c r="G90" s="13">
        <f t="shared" si="0"/>
        <v>-7.634946236559137E-2</v>
      </c>
      <c r="H90" s="13">
        <f>H87-H89</f>
        <v>3.763440860215054E-5</v>
      </c>
      <c r="I90" s="13">
        <f>I87-I89</f>
        <v>4.4420544086021502E-2</v>
      </c>
      <c r="J90" s="13">
        <f>J87-J89</f>
        <v>-4.4955177956989237E-2</v>
      </c>
      <c r="K90" s="13">
        <f>K87-K89</f>
        <v>-7.5852462903225795E-2</v>
      </c>
      <c r="L90" s="61"/>
      <c r="M90" s="49"/>
      <c r="P90" s="67"/>
    </row>
    <row r="91" spans="3:16" s="60" customFormat="1" ht="12.75" x14ac:dyDescent="0.2">
      <c r="C91" s="9"/>
      <c r="D91" s="10" t="s">
        <v>156</v>
      </c>
      <c r="E91" s="11" t="s">
        <v>94</v>
      </c>
      <c r="F91" s="12" t="s">
        <v>157</v>
      </c>
      <c r="G91" s="13">
        <f t="shared" si="0"/>
        <v>0</v>
      </c>
      <c r="H91" s="13">
        <f>(H54+H67+H72)-(H73+H84+H85+H86+H87)</f>
        <v>0</v>
      </c>
      <c r="I91" s="13">
        <f>(I54+I67+I72)-(I73+I84+I85+I86+I87)</f>
        <v>0</v>
      </c>
      <c r="J91" s="13">
        <f>(J54+J67+J72)-(J73+J84+J85+J86+J87)</f>
        <v>0</v>
      </c>
      <c r="K91" s="13">
        <f>(K54+K67+K72)-(K73+K84+K85+K86+K87)</f>
        <v>0</v>
      </c>
      <c r="L91" s="61"/>
      <c r="M91" s="49"/>
      <c r="P91" s="67">
        <v>500</v>
      </c>
    </row>
    <row r="92" spans="3:16" s="60" customFormat="1" ht="12.75" x14ac:dyDescent="0.2">
      <c r="C92" s="9"/>
      <c r="D92" s="99" t="s">
        <v>158</v>
      </c>
      <c r="E92" s="100"/>
      <c r="F92" s="100"/>
      <c r="G92" s="100"/>
      <c r="H92" s="100"/>
      <c r="I92" s="100"/>
      <c r="J92" s="100"/>
      <c r="K92" s="101"/>
      <c r="L92" s="61"/>
      <c r="M92" s="49"/>
      <c r="P92" s="68"/>
    </row>
    <row r="93" spans="3:16" s="60" customFormat="1" ht="12.75" x14ac:dyDescent="0.2">
      <c r="C93" s="9"/>
      <c r="D93" s="10" t="s">
        <v>159</v>
      </c>
      <c r="E93" s="11" t="s">
        <v>160</v>
      </c>
      <c r="F93" s="12" t="s">
        <v>161</v>
      </c>
      <c r="G93" s="13">
        <f t="shared" si="0"/>
        <v>0</v>
      </c>
      <c r="H93" s="15"/>
      <c r="I93" s="15"/>
      <c r="J93" s="15"/>
      <c r="K93" s="15"/>
      <c r="L93" s="61"/>
      <c r="M93" s="49"/>
      <c r="P93" s="67">
        <v>600</v>
      </c>
    </row>
    <row r="94" spans="3:16" s="60" customFormat="1" ht="12.75" x14ac:dyDescent="0.2">
      <c r="C94" s="9"/>
      <c r="D94" s="10" t="s">
        <v>162</v>
      </c>
      <c r="E94" s="11" t="s">
        <v>163</v>
      </c>
      <c r="F94" s="12" t="s">
        <v>164</v>
      </c>
      <c r="G94" s="13">
        <f t="shared" si="0"/>
        <v>39.573</v>
      </c>
      <c r="H94" s="15"/>
      <c r="I94" s="15">
        <v>39.573</v>
      </c>
      <c r="J94" s="15"/>
      <c r="K94" s="15"/>
      <c r="L94" s="61"/>
      <c r="M94" s="49"/>
      <c r="P94" s="67">
        <v>610</v>
      </c>
    </row>
    <row r="95" spans="3:16" s="60" customFormat="1" ht="12.75" x14ac:dyDescent="0.2">
      <c r="C95" s="9"/>
      <c r="D95" s="10" t="s">
        <v>165</v>
      </c>
      <c r="E95" s="11" t="s">
        <v>166</v>
      </c>
      <c r="F95" s="12" t="s">
        <v>167</v>
      </c>
      <c r="G95" s="13">
        <f t="shared" si="0"/>
        <v>0</v>
      </c>
      <c r="H95" s="15"/>
      <c r="I95" s="15"/>
      <c r="J95" s="15"/>
      <c r="K95" s="15"/>
      <c r="L95" s="61"/>
      <c r="M95" s="49"/>
      <c r="P95" s="67">
        <v>620</v>
      </c>
    </row>
    <row r="96" spans="3:16" s="60" customFormat="1" ht="12.75" x14ac:dyDescent="0.2">
      <c r="C96" s="9"/>
      <c r="D96" s="99" t="s">
        <v>168</v>
      </c>
      <c r="E96" s="100"/>
      <c r="F96" s="100"/>
      <c r="G96" s="100"/>
      <c r="H96" s="100"/>
      <c r="I96" s="100"/>
      <c r="J96" s="100"/>
      <c r="K96" s="101"/>
      <c r="L96" s="61"/>
      <c r="M96" s="49"/>
      <c r="P96" s="68"/>
    </row>
    <row r="97" spans="3:16" s="60" customFormat="1" ht="12.75" x14ac:dyDescent="0.2">
      <c r="C97" s="9"/>
      <c r="D97" s="10" t="s">
        <v>169</v>
      </c>
      <c r="E97" s="11" t="s">
        <v>170</v>
      </c>
      <c r="F97" s="12" t="s">
        <v>171</v>
      </c>
      <c r="G97" s="13">
        <f t="shared" si="0"/>
        <v>0</v>
      </c>
      <c r="H97" s="13">
        <f>SUM(H98:H99)</f>
        <v>0</v>
      </c>
      <c r="I97" s="13">
        <f>SUM(I98:I99)</f>
        <v>0</v>
      </c>
      <c r="J97" s="13">
        <f>SUM(J98:J99)</f>
        <v>0</v>
      </c>
      <c r="K97" s="13">
        <f>SUM(K98:K99)</f>
        <v>0</v>
      </c>
      <c r="L97" s="61"/>
      <c r="M97" s="49"/>
      <c r="P97" s="67">
        <v>700</v>
      </c>
    </row>
    <row r="98" spans="3:16" ht="12.75" x14ac:dyDescent="0.2">
      <c r="C98" s="5"/>
      <c r="D98" s="39" t="s">
        <v>172</v>
      </c>
      <c r="E98" s="14" t="s">
        <v>173</v>
      </c>
      <c r="F98" s="12" t="s">
        <v>174</v>
      </c>
      <c r="G98" s="13">
        <f t="shared" si="0"/>
        <v>0</v>
      </c>
      <c r="H98" s="40"/>
      <c r="I98" s="40"/>
      <c r="J98" s="40"/>
      <c r="K98" s="40"/>
      <c r="L98" s="59"/>
      <c r="M98" s="49"/>
      <c r="P98" s="67">
        <v>710</v>
      </c>
    </row>
    <row r="99" spans="3:16" ht="12.75" x14ac:dyDescent="0.2">
      <c r="C99" s="5"/>
      <c r="D99" s="39" t="s">
        <v>175</v>
      </c>
      <c r="E99" s="14" t="s">
        <v>176</v>
      </c>
      <c r="F99" s="12" t="s">
        <v>177</v>
      </c>
      <c r="G99" s="13">
        <f t="shared" si="0"/>
        <v>0</v>
      </c>
      <c r="H99" s="41">
        <f>H102</f>
        <v>0</v>
      </c>
      <c r="I99" s="41">
        <f>I102</f>
        <v>0</v>
      </c>
      <c r="J99" s="41">
        <f>J102</f>
        <v>0</v>
      </c>
      <c r="K99" s="41">
        <f>K102</f>
        <v>0</v>
      </c>
      <c r="L99" s="59"/>
      <c r="M99" s="49"/>
      <c r="P99" s="67">
        <v>720</v>
      </c>
    </row>
    <row r="100" spans="3:16" ht="12.75" x14ac:dyDescent="0.2">
      <c r="C100" s="5"/>
      <c r="D100" s="39" t="s">
        <v>178</v>
      </c>
      <c r="E100" s="34" t="s">
        <v>179</v>
      </c>
      <c r="F100" s="12" t="s">
        <v>180</v>
      </c>
      <c r="G100" s="13">
        <f t="shared" si="0"/>
        <v>0</v>
      </c>
      <c r="H100" s="40"/>
      <c r="I100" s="40"/>
      <c r="J100" s="40"/>
      <c r="K100" s="40"/>
      <c r="L100" s="59"/>
      <c r="M100" s="49"/>
      <c r="P100" s="67">
        <v>730</v>
      </c>
    </row>
    <row r="101" spans="3:16" ht="12.75" x14ac:dyDescent="0.2">
      <c r="C101" s="5"/>
      <c r="D101" s="39" t="s">
        <v>181</v>
      </c>
      <c r="E101" s="35" t="s">
        <v>182</v>
      </c>
      <c r="F101" s="12" t="s">
        <v>183</v>
      </c>
      <c r="G101" s="13">
        <f t="shared" si="0"/>
        <v>0</v>
      </c>
      <c r="H101" s="40"/>
      <c r="I101" s="40"/>
      <c r="J101" s="40"/>
      <c r="K101" s="40"/>
      <c r="L101" s="59"/>
      <c r="M101" s="49"/>
      <c r="P101" s="67"/>
    </row>
    <row r="102" spans="3:16" ht="12.75" x14ac:dyDescent="0.2">
      <c r="C102" s="5"/>
      <c r="D102" s="39" t="s">
        <v>184</v>
      </c>
      <c r="E102" s="34" t="s">
        <v>185</v>
      </c>
      <c r="F102" s="12" t="s">
        <v>186</v>
      </c>
      <c r="G102" s="13">
        <f t="shared" si="0"/>
        <v>0</v>
      </c>
      <c r="H102" s="40"/>
      <c r="I102" s="40"/>
      <c r="J102" s="40"/>
      <c r="K102" s="40"/>
      <c r="L102" s="59"/>
      <c r="M102" s="49"/>
      <c r="P102" s="67">
        <v>740</v>
      </c>
    </row>
    <row r="103" spans="3:16" ht="12.75" x14ac:dyDescent="0.2">
      <c r="C103" s="5"/>
      <c r="D103" s="39" t="s">
        <v>187</v>
      </c>
      <c r="E103" s="11" t="s">
        <v>188</v>
      </c>
      <c r="F103" s="12" t="s">
        <v>189</v>
      </c>
      <c r="G103" s="13">
        <f t="shared" si="0"/>
        <v>0</v>
      </c>
      <c r="H103" s="41">
        <f>H104+H120</f>
        <v>0</v>
      </c>
      <c r="I103" s="41">
        <f>I104+I120</f>
        <v>0</v>
      </c>
      <c r="J103" s="41">
        <f>J104+J120</f>
        <v>0</v>
      </c>
      <c r="K103" s="41">
        <f>K104+K120</f>
        <v>0</v>
      </c>
      <c r="L103" s="59"/>
      <c r="M103" s="49"/>
      <c r="P103" s="67">
        <v>750</v>
      </c>
    </row>
    <row r="104" spans="3:16" ht="12.75" x14ac:dyDescent="0.2">
      <c r="C104" s="5"/>
      <c r="D104" s="39" t="s">
        <v>190</v>
      </c>
      <c r="E104" s="14" t="s">
        <v>191</v>
      </c>
      <c r="F104" s="12" t="s">
        <v>192</v>
      </c>
      <c r="G104" s="13">
        <f t="shared" si="0"/>
        <v>0</v>
      </c>
      <c r="H104" s="41">
        <f>H105+H106</f>
        <v>0</v>
      </c>
      <c r="I104" s="41">
        <f>I105+I106</f>
        <v>0</v>
      </c>
      <c r="J104" s="41">
        <f>J105+J106</f>
        <v>0</v>
      </c>
      <c r="K104" s="41">
        <f>K105+K106</f>
        <v>0</v>
      </c>
      <c r="L104" s="59"/>
      <c r="M104" s="49"/>
      <c r="P104" s="67">
        <v>760</v>
      </c>
    </row>
    <row r="105" spans="3:16" ht="12.75" x14ac:dyDescent="0.2">
      <c r="C105" s="5"/>
      <c r="D105" s="39" t="s">
        <v>193</v>
      </c>
      <c r="E105" s="34" t="s">
        <v>194</v>
      </c>
      <c r="F105" s="12" t="s">
        <v>195</v>
      </c>
      <c r="G105" s="13">
        <f t="shared" si="0"/>
        <v>0</v>
      </c>
      <c r="H105" s="40"/>
      <c r="I105" s="40"/>
      <c r="J105" s="40"/>
      <c r="K105" s="40"/>
      <c r="L105" s="59"/>
      <c r="M105" s="49"/>
      <c r="P105" s="67"/>
    </row>
    <row r="106" spans="3:16" ht="12.75" x14ac:dyDescent="0.2">
      <c r="C106" s="5"/>
      <c r="D106" s="39" t="s">
        <v>196</v>
      </c>
      <c r="E106" s="34" t="s">
        <v>197</v>
      </c>
      <c r="F106" s="12" t="s">
        <v>198</v>
      </c>
      <c r="G106" s="13">
        <f t="shared" si="0"/>
        <v>0</v>
      </c>
      <c r="H106" s="41">
        <f>H107+H110+H113+H116+H117+H118+H119</f>
        <v>0</v>
      </c>
      <c r="I106" s="41">
        <f>I107+I110+I113+I116+I117+I118+I119</f>
        <v>0</v>
      </c>
      <c r="J106" s="41">
        <f>J107+J110+J113+J116+J117+J118+J119</f>
        <v>0</v>
      </c>
      <c r="K106" s="41">
        <f>K107+K110+K113+K116+K117+K118+K119</f>
        <v>0</v>
      </c>
      <c r="L106" s="59"/>
      <c r="M106" s="49"/>
      <c r="P106" s="67"/>
    </row>
    <row r="107" spans="3:16" ht="45" x14ac:dyDescent="0.2">
      <c r="C107" s="5"/>
      <c r="D107" s="39" t="s">
        <v>199</v>
      </c>
      <c r="E107" s="35" t="s">
        <v>200</v>
      </c>
      <c r="F107" s="12" t="s">
        <v>201</v>
      </c>
      <c r="G107" s="13">
        <f t="shared" si="0"/>
        <v>0</v>
      </c>
      <c r="H107" s="42">
        <f>H108+H109</f>
        <v>0</v>
      </c>
      <c r="I107" s="42">
        <f>I108+I109</f>
        <v>0</v>
      </c>
      <c r="J107" s="42">
        <f>J108+J109</f>
        <v>0</v>
      </c>
      <c r="K107" s="42">
        <f>K108+K109</f>
        <v>0</v>
      </c>
      <c r="L107" s="59"/>
      <c r="M107" s="49"/>
      <c r="P107" s="67"/>
    </row>
    <row r="108" spans="3:16" ht="12.75" x14ac:dyDescent="0.2">
      <c r="C108" s="5"/>
      <c r="D108" s="39" t="s">
        <v>202</v>
      </c>
      <c r="E108" s="43" t="s">
        <v>203</v>
      </c>
      <c r="F108" s="12" t="s">
        <v>204</v>
      </c>
      <c r="G108" s="13">
        <f t="shared" si="0"/>
        <v>0</v>
      </c>
      <c r="H108" s="40"/>
      <c r="I108" s="40"/>
      <c r="J108" s="40"/>
      <c r="K108" s="40"/>
      <c r="L108" s="59"/>
      <c r="M108" s="49"/>
      <c r="P108" s="67"/>
    </row>
    <row r="109" spans="3:16" ht="12.75" x14ac:dyDescent="0.2">
      <c r="C109" s="5"/>
      <c r="D109" s="39" t="s">
        <v>205</v>
      </c>
      <c r="E109" s="43" t="s">
        <v>206</v>
      </c>
      <c r="F109" s="12" t="s">
        <v>207</v>
      </c>
      <c r="G109" s="13">
        <f t="shared" si="0"/>
        <v>0</v>
      </c>
      <c r="H109" s="40"/>
      <c r="I109" s="40"/>
      <c r="J109" s="40"/>
      <c r="K109" s="40"/>
      <c r="L109" s="59"/>
      <c r="M109" s="49"/>
      <c r="P109" s="67"/>
    </row>
    <row r="110" spans="3:16" ht="45" x14ac:dyDescent="0.2">
      <c r="C110" s="5"/>
      <c r="D110" s="39" t="s">
        <v>208</v>
      </c>
      <c r="E110" s="35" t="s">
        <v>209</v>
      </c>
      <c r="F110" s="12" t="s">
        <v>210</v>
      </c>
      <c r="G110" s="13">
        <f t="shared" si="0"/>
        <v>0</v>
      </c>
      <c r="H110" s="42">
        <f>H111+H112</f>
        <v>0</v>
      </c>
      <c r="I110" s="42">
        <f>I111+I112</f>
        <v>0</v>
      </c>
      <c r="J110" s="42">
        <f>J111+J112</f>
        <v>0</v>
      </c>
      <c r="K110" s="42">
        <f>K111+K112</f>
        <v>0</v>
      </c>
      <c r="L110" s="59"/>
      <c r="M110" s="49"/>
      <c r="P110" s="67"/>
    </row>
    <row r="111" spans="3:16" ht="12.75" x14ac:dyDescent="0.2">
      <c r="C111" s="5"/>
      <c r="D111" s="39" t="s">
        <v>211</v>
      </c>
      <c r="E111" s="43" t="s">
        <v>203</v>
      </c>
      <c r="F111" s="12" t="s">
        <v>212</v>
      </c>
      <c r="G111" s="13">
        <f t="shared" si="0"/>
        <v>0</v>
      </c>
      <c r="H111" s="40"/>
      <c r="I111" s="40"/>
      <c r="J111" s="40"/>
      <c r="K111" s="40"/>
      <c r="L111" s="59"/>
      <c r="M111" s="49"/>
      <c r="P111" s="67"/>
    </row>
    <row r="112" spans="3:16" ht="12.75" x14ac:dyDescent="0.2">
      <c r="C112" s="5"/>
      <c r="D112" s="39" t="s">
        <v>213</v>
      </c>
      <c r="E112" s="43" t="s">
        <v>206</v>
      </c>
      <c r="F112" s="12" t="s">
        <v>214</v>
      </c>
      <c r="G112" s="13">
        <f t="shared" si="0"/>
        <v>0</v>
      </c>
      <c r="H112" s="40"/>
      <c r="I112" s="40"/>
      <c r="J112" s="40"/>
      <c r="K112" s="40"/>
      <c r="L112" s="59"/>
      <c r="M112" s="49"/>
      <c r="P112" s="67"/>
    </row>
    <row r="113" spans="3:16" ht="22.5" x14ac:dyDescent="0.2">
      <c r="C113" s="5"/>
      <c r="D113" s="39" t="s">
        <v>215</v>
      </c>
      <c r="E113" s="35" t="s">
        <v>216</v>
      </c>
      <c r="F113" s="12" t="s">
        <v>217</v>
      </c>
      <c r="G113" s="13">
        <f t="shared" si="0"/>
        <v>0</v>
      </c>
      <c r="H113" s="42">
        <f>H114+H115</f>
        <v>0</v>
      </c>
      <c r="I113" s="42">
        <f>I114+I115</f>
        <v>0</v>
      </c>
      <c r="J113" s="42">
        <f>J114+J115</f>
        <v>0</v>
      </c>
      <c r="K113" s="42">
        <f>K114+K115</f>
        <v>0</v>
      </c>
      <c r="L113" s="59"/>
      <c r="M113" s="49"/>
      <c r="P113" s="67"/>
    </row>
    <row r="114" spans="3:16" ht="12.75" x14ac:dyDescent="0.2">
      <c r="C114" s="5"/>
      <c r="D114" s="39" t="s">
        <v>218</v>
      </c>
      <c r="E114" s="43" t="s">
        <v>203</v>
      </c>
      <c r="F114" s="12" t="s">
        <v>219</v>
      </c>
      <c r="G114" s="13">
        <f t="shared" si="0"/>
        <v>0</v>
      </c>
      <c r="H114" s="40"/>
      <c r="I114" s="40"/>
      <c r="J114" s="40"/>
      <c r="K114" s="40"/>
      <c r="L114" s="59"/>
      <c r="M114" s="49"/>
      <c r="P114" s="67"/>
    </row>
    <row r="115" spans="3:16" ht="12.75" x14ac:dyDescent="0.2">
      <c r="C115" s="5"/>
      <c r="D115" s="39" t="s">
        <v>220</v>
      </c>
      <c r="E115" s="43" t="s">
        <v>206</v>
      </c>
      <c r="F115" s="12" t="s">
        <v>221</v>
      </c>
      <c r="G115" s="13">
        <f t="shared" si="0"/>
        <v>0</v>
      </c>
      <c r="H115" s="40"/>
      <c r="I115" s="40"/>
      <c r="J115" s="40"/>
      <c r="K115" s="40"/>
      <c r="L115" s="59"/>
      <c r="M115" s="49"/>
      <c r="P115" s="67"/>
    </row>
    <row r="116" spans="3:16" ht="22.5" x14ac:dyDescent="0.2">
      <c r="C116" s="5"/>
      <c r="D116" s="39" t="s">
        <v>222</v>
      </c>
      <c r="E116" s="35" t="s">
        <v>223</v>
      </c>
      <c r="F116" s="12" t="s">
        <v>224</v>
      </c>
      <c r="G116" s="13">
        <f t="shared" si="0"/>
        <v>0</v>
      </c>
      <c r="H116" s="40"/>
      <c r="I116" s="40"/>
      <c r="J116" s="40"/>
      <c r="K116" s="40"/>
      <c r="L116" s="59"/>
      <c r="M116" s="49"/>
      <c r="P116" s="67"/>
    </row>
    <row r="117" spans="3:16" ht="12.75" x14ac:dyDescent="0.2">
      <c r="C117" s="5"/>
      <c r="D117" s="39" t="s">
        <v>225</v>
      </c>
      <c r="E117" s="35" t="s">
        <v>226</v>
      </c>
      <c r="F117" s="12" t="s">
        <v>227</v>
      </c>
      <c r="G117" s="13">
        <f t="shared" si="0"/>
        <v>0</v>
      </c>
      <c r="H117" s="40"/>
      <c r="I117" s="40"/>
      <c r="J117" s="40"/>
      <c r="K117" s="40"/>
      <c r="L117" s="59"/>
      <c r="M117" s="49"/>
      <c r="P117" s="67"/>
    </row>
    <row r="118" spans="3:16" ht="45" x14ac:dyDescent="0.2">
      <c r="C118" s="5"/>
      <c r="D118" s="39" t="s">
        <v>228</v>
      </c>
      <c r="E118" s="35" t="s">
        <v>229</v>
      </c>
      <c r="F118" s="12" t="s">
        <v>230</v>
      </c>
      <c r="G118" s="13">
        <f t="shared" si="0"/>
        <v>0</v>
      </c>
      <c r="H118" s="40"/>
      <c r="I118" s="40"/>
      <c r="J118" s="40"/>
      <c r="K118" s="40"/>
      <c r="L118" s="59"/>
      <c r="M118" s="49"/>
      <c r="P118" s="67"/>
    </row>
    <row r="119" spans="3:16" ht="22.5" x14ac:dyDescent="0.2">
      <c r="C119" s="5"/>
      <c r="D119" s="39" t="s">
        <v>231</v>
      </c>
      <c r="E119" s="35" t="s">
        <v>232</v>
      </c>
      <c r="F119" s="12" t="s">
        <v>233</v>
      </c>
      <c r="G119" s="13">
        <f t="shared" si="0"/>
        <v>0</v>
      </c>
      <c r="H119" s="40"/>
      <c r="I119" s="40"/>
      <c r="J119" s="40"/>
      <c r="K119" s="40"/>
      <c r="L119" s="59"/>
      <c r="M119" s="49"/>
      <c r="P119" s="67"/>
    </row>
    <row r="120" spans="3:16" ht="12.75" x14ac:dyDescent="0.2">
      <c r="C120" s="5"/>
      <c r="D120" s="39" t="s">
        <v>234</v>
      </c>
      <c r="E120" s="14" t="s">
        <v>235</v>
      </c>
      <c r="F120" s="12" t="s">
        <v>236</v>
      </c>
      <c r="G120" s="13">
        <f t="shared" si="0"/>
        <v>0</v>
      </c>
      <c r="H120" s="41">
        <f>H123</f>
        <v>0</v>
      </c>
      <c r="I120" s="41">
        <f>I123</f>
        <v>0</v>
      </c>
      <c r="J120" s="41">
        <f>J123</f>
        <v>0</v>
      </c>
      <c r="K120" s="41">
        <f>K123</f>
        <v>0</v>
      </c>
      <c r="L120" s="59"/>
      <c r="M120" s="49"/>
      <c r="P120" s="67">
        <v>770</v>
      </c>
    </row>
    <row r="121" spans="3:16" ht="12.75" x14ac:dyDescent="0.2">
      <c r="C121" s="5"/>
      <c r="D121" s="39" t="s">
        <v>237</v>
      </c>
      <c r="E121" s="34" t="s">
        <v>179</v>
      </c>
      <c r="F121" s="12" t="s">
        <v>238</v>
      </c>
      <c r="G121" s="13">
        <f t="shared" si="0"/>
        <v>0</v>
      </c>
      <c r="H121" s="40"/>
      <c r="I121" s="40"/>
      <c r="J121" s="40"/>
      <c r="K121" s="40"/>
      <c r="L121" s="59"/>
      <c r="M121" s="49"/>
      <c r="P121" s="67">
        <v>780</v>
      </c>
    </row>
    <row r="122" spans="3:16" ht="12.75" x14ac:dyDescent="0.2">
      <c r="C122" s="5"/>
      <c r="D122" s="39" t="s">
        <v>239</v>
      </c>
      <c r="E122" s="35" t="s">
        <v>240</v>
      </c>
      <c r="F122" s="12" t="s">
        <v>241</v>
      </c>
      <c r="G122" s="13">
        <f t="shared" si="0"/>
        <v>0</v>
      </c>
      <c r="H122" s="40"/>
      <c r="I122" s="40"/>
      <c r="J122" s="40"/>
      <c r="K122" s="40"/>
      <c r="L122" s="59"/>
      <c r="M122" s="49"/>
      <c r="P122" s="67"/>
    </row>
    <row r="123" spans="3:16" ht="12.75" x14ac:dyDescent="0.2">
      <c r="C123" s="5"/>
      <c r="D123" s="39" t="s">
        <v>242</v>
      </c>
      <c r="E123" s="34" t="s">
        <v>185</v>
      </c>
      <c r="F123" s="12" t="s">
        <v>243</v>
      </c>
      <c r="G123" s="13">
        <f t="shared" si="0"/>
        <v>0</v>
      </c>
      <c r="H123" s="40"/>
      <c r="I123" s="40"/>
      <c r="J123" s="40"/>
      <c r="K123" s="40"/>
      <c r="L123" s="59"/>
      <c r="M123" s="49"/>
      <c r="P123" s="67">
        <v>790</v>
      </c>
    </row>
    <row r="124" spans="3:16" ht="22.5" x14ac:dyDescent="0.2">
      <c r="C124" s="5"/>
      <c r="D124" s="39" t="s">
        <v>244</v>
      </c>
      <c r="E124" s="32" t="s">
        <v>245</v>
      </c>
      <c r="F124" s="12" t="s">
        <v>246</v>
      </c>
      <c r="G124" s="13">
        <f t="shared" si="0"/>
        <v>5480.2219999999998</v>
      </c>
      <c r="H124" s="41">
        <f>SUM(H125:H126)</f>
        <v>2.8000000000000001E-2</v>
      </c>
      <c r="I124" s="41">
        <f>SUM(I125:I126)</f>
        <v>3146.4780000000001</v>
      </c>
      <c r="J124" s="41">
        <f>SUM(J125:J126)</f>
        <v>1471.6179999999999</v>
      </c>
      <c r="K124" s="41">
        <f>SUM(K125:K126)</f>
        <v>862.09799999999996</v>
      </c>
      <c r="L124" s="59"/>
      <c r="M124" s="49"/>
      <c r="P124" s="67"/>
    </row>
    <row r="125" spans="3:16" ht="12.75" x14ac:dyDescent="0.2">
      <c r="C125" s="5"/>
      <c r="D125" s="39" t="s">
        <v>247</v>
      </c>
      <c r="E125" s="14" t="s">
        <v>173</v>
      </c>
      <c r="F125" s="12" t="s">
        <v>248</v>
      </c>
      <c r="G125" s="13">
        <f t="shared" si="0"/>
        <v>0</v>
      </c>
      <c r="H125" s="40"/>
      <c r="I125" s="40"/>
      <c r="J125" s="40"/>
      <c r="K125" s="40"/>
      <c r="L125" s="59"/>
      <c r="M125" s="49"/>
      <c r="P125" s="67"/>
    </row>
    <row r="126" spans="3:16" ht="12.75" x14ac:dyDescent="0.2">
      <c r="C126" s="5"/>
      <c r="D126" s="39" t="s">
        <v>249</v>
      </c>
      <c r="E126" s="14" t="s">
        <v>176</v>
      </c>
      <c r="F126" s="12" t="s">
        <v>250</v>
      </c>
      <c r="G126" s="13">
        <f t="shared" si="0"/>
        <v>5480.2219999999998</v>
      </c>
      <c r="H126" s="41">
        <f>H128</f>
        <v>2.8000000000000001E-2</v>
      </c>
      <c r="I126" s="41">
        <f>I128</f>
        <v>3146.4780000000001</v>
      </c>
      <c r="J126" s="41">
        <f>J128</f>
        <v>1471.6179999999999</v>
      </c>
      <c r="K126" s="41">
        <f>K128</f>
        <v>862.09799999999996</v>
      </c>
      <c r="L126" s="59"/>
      <c r="M126" s="49"/>
      <c r="P126" s="67"/>
    </row>
    <row r="127" spans="3:16" ht="12.75" x14ac:dyDescent="0.2">
      <c r="C127" s="5"/>
      <c r="D127" s="39" t="s">
        <v>251</v>
      </c>
      <c r="E127" s="34" t="s">
        <v>252</v>
      </c>
      <c r="F127" s="12" t="s">
        <v>253</v>
      </c>
      <c r="G127" s="13">
        <f t="shared" si="0"/>
        <v>44.622999999999998</v>
      </c>
      <c r="H127" s="40"/>
      <c r="I127" s="40">
        <v>44.622999999999998</v>
      </c>
      <c r="J127" s="40"/>
      <c r="K127" s="40"/>
      <c r="L127" s="59"/>
      <c r="M127" s="49"/>
      <c r="P127" s="67"/>
    </row>
    <row r="128" spans="3:16" ht="12.75" x14ac:dyDescent="0.2">
      <c r="C128" s="5"/>
      <c r="D128" s="39" t="s">
        <v>254</v>
      </c>
      <c r="E128" s="34" t="s">
        <v>185</v>
      </c>
      <c r="F128" s="12" t="s">
        <v>255</v>
      </c>
      <c r="G128" s="13">
        <f t="shared" si="0"/>
        <v>5480.2219999999998</v>
      </c>
      <c r="H128" s="40">
        <f>H48+H34</f>
        <v>2.8000000000000001E-2</v>
      </c>
      <c r="I128" s="40">
        <f>I34+75.717</f>
        <v>3146.4780000000001</v>
      </c>
      <c r="J128" s="40">
        <f>J34+2.415</f>
        <v>1471.6179999999999</v>
      </c>
      <c r="K128" s="40">
        <f>K34</f>
        <v>862.09799999999996</v>
      </c>
      <c r="L128" s="59"/>
      <c r="M128" s="49"/>
      <c r="P128" s="67"/>
    </row>
    <row r="129" spans="3:16" ht="12.75" x14ac:dyDescent="0.2">
      <c r="C129" s="5"/>
      <c r="D129" s="99" t="s">
        <v>256</v>
      </c>
      <c r="E129" s="100"/>
      <c r="F129" s="100"/>
      <c r="G129" s="100"/>
      <c r="H129" s="100"/>
      <c r="I129" s="100"/>
      <c r="J129" s="100"/>
      <c r="K129" s="101"/>
      <c r="L129" s="59"/>
      <c r="M129" s="49"/>
      <c r="P129" s="71"/>
    </row>
    <row r="130" spans="3:16" ht="22.5" x14ac:dyDescent="0.2">
      <c r="C130" s="5"/>
      <c r="D130" s="39" t="s">
        <v>257</v>
      </c>
      <c r="E130" s="11" t="s">
        <v>258</v>
      </c>
      <c r="F130" s="12" t="s">
        <v>259</v>
      </c>
      <c r="G130" s="13">
        <f t="shared" si="0"/>
        <v>0</v>
      </c>
      <c r="H130" s="41">
        <f>SUM( H131:H132)</f>
        <v>0</v>
      </c>
      <c r="I130" s="41">
        <f>SUM( I131:I132)</f>
        <v>0</v>
      </c>
      <c r="J130" s="41">
        <f>SUM( J131:J132)</f>
        <v>0</v>
      </c>
      <c r="K130" s="41">
        <f>SUM( K131:K132)</f>
        <v>0</v>
      </c>
      <c r="L130" s="59"/>
      <c r="M130" s="49"/>
      <c r="P130" s="67">
        <v>800</v>
      </c>
    </row>
    <row r="131" spans="3:16" ht="12.75" x14ac:dyDescent="0.2">
      <c r="C131" s="5"/>
      <c r="D131" s="39" t="s">
        <v>260</v>
      </c>
      <c r="E131" s="14" t="s">
        <v>173</v>
      </c>
      <c r="F131" s="12" t="s">
        <v>261</v>
      </c>
      <c r="G131" s="13">
        <f t="shared" si="0"/>
        <v>0</v>
      </c>
      <c r="H131" s="40"/>
      <c r="I131" s="40"/>
      <c r="J131" s="40"/>
      <c r="K131" s="40"/>
      <c r="L131" s="59"/>
      <c r="M131" s="49"/>
      <c r="P131" s="67">
        <v>810</v>
      </c>
    </row>
    <row r="132" spans="3:16" ht="12.75" x14ac:dyDescent="0.2">
      <c r="C132" s="5"/>
      <c r="D132" s="39" t="s">
        <v>262</v>
      </c>
      <c r="E132" s="14" t="s">
        <v>176</v>
      </c>
      <c r="F132" s="12" t="s">
        <v>263</v>
      </c>
      <c r="G132" s="13">
        <f t="shared" si="0"/>
        <v>0</v>
      </c>
      <c r="H132" s="41">
        <f>H133+H135</f>
        <v>0</v>
      </c>
      <c r="I132" s="41">
        <f>I133+I135</f>
        <v>0</v>
      </c>
      <c r="J132" s="41">
        <f>J133+J135</f>
        <v>0</v>
      </c>
      <c r="K132" s="41">
        <f>K133+K135</f>
        <v>0</v>
      </c>
      <c r="L132" s="59"/>
      <c r="M132" s="49"/>
      <c r="P132" s="67">
        <v>820</v>
      </c>
    </row>
    <row r="133" spans="3:16" ht="12.75" x14ac:dyDescent="0.2">
      <c r="C133" s="5"/>
      <c r="D133" s="39" t="s">
        <v>264</v>
      </c>
      <c r="E133" s="34" t="s">
        <v>265</v>
      </c>
      <c r="F133" s="12" t="s">
        <v>266</v>
      </c>
      <c r="G133" s="13">
        <f t="shared" si="0"/>
        <v>0</v>
      </c>
      <c r="H133" s="40"/>
      <c r="I133" s="40"/>
      <c r="J133" s="40"/>
      <c r="K133" s="40"/>
      <c r="L133" s="59"/>
      <c r="M133" s="49"/>
      <c r="P133" s="67">
        <v>830</v>
      </c>
    </row>
    <row r="134" spans="3:16" ht="12.75" x14ac:dyDescent="0.2">
      <c r="C134" s="5"/>
      <c r="D134" s="39" t="s">
        <v>267</v>
      </c>
      <c r="E134" s="35" t="s">
        <v>268</v>
      </c>
      <c r="F134" s="12" t="s">
        <v>269</v>
      </c>
      <c r="G134" s="13">
        <f t="shared" si="0"/>
        <v>0</v>
      </c>
      <c r="H134" s="40"/>
      <c r="I134" s="40"/>
      <c r="J134" s="40"/>
      <c r="K134" s="40"/>
      <c r="L134" s="59"/>
      <c r="M134" s="49"/>
      <c r="P134" s="71"/>
    </row>
    <row r="135" spans="3:16" ht="12.75" x14ac:dyDescent="0.2">
      <c r="C135" s="5"/>
      <c r="D135" s="39" t="s">
        <v>270</v>
      </c>
      <c r="E135" s="34" t="s">
        <v>271</v>
      </c>
      <c r="F135" s="12" t="s">
        <v>272</v>
      </c>
      <c r="G135" s="13">
        <f t="shared" si="0"/>
        <v>0</v>
      </c>
      <c r="H135" s="40"/>
      <c r="I135" s="40"/>
      <c r="J135" s="40"/>
      <c r="K135" s="40"/>
      <c r="L135" s="59"/>
      <c r="M135" s="49"/>
      <c r="P135" s="67">
        <v>840</v>
      </c>
    </row>
    <row r="136" spans="3:16" ht="12.75" x14ac:dyDescent="0.2">
      <c r="C136" s="5"/>
      <c r="D136" s="39" t="s">
        <v>19</v>
      </c>
      <c r="E136" s="11" t="s">
        <v>273</v>
      </c>
      <c r="F136" s="12" t="s">
        <v>274</v>
      </c>
      <c r="G136" s="13">
        <f t="shared" si="0"/>
        <v>0</v>
      </c>
      <c r="H136" s="42">
        <f>SUM( H137+H142)</f>
        <v>0</v>
      </c>
      <c r="I136" s="42">
        <f>SUM( I137+I142)</f>
        <v>0</v>
      </c>
      <c r="J136" s="42">
        <f>SUM( J137+J142)</f>
        <v>0</v>
      </c>
      <c r="K136" s="42">
        <f>SUM( K137+K142)</f>
        <v>0</v>
      </c>
      <c r="L136" s="62"/>
      <c r="M136" s="49"/>
      <c r="P136" s="67">
        <v>850</v>
      </c>
    </row>
    <row r="137" spans="3:16" ht="12.75" x14ac:dyDescent="0.2">
      <c r="C137" s="5"/>
      <c r="D137" s="39" t="s">
        <v>275</v>
      </c>
      <c r="E137" s="14" t="s">
        <v>173</v>
      </c>
      <c r="F137" s="12" t="s">
        <v>276</v>
      </c>
      <c r="G137" s="13">
        <f t="shared" ref="G137:G150" si="1">SUM(H137:K137)</f>
        <v>0</v>
      </c>
      <c r="H137" s="42">
        <f>SUM( H138:H139)</f>
        <v>0</v>
      </c>
      <c r="I137" s="42">
        <f>SUM( I138:I139)</f>
        <v>0</v>
      </c>
      <c r="J137" s="42">
        <f>SUM( J138:J139)</f>
        <v>0</v>
      </c>
      <c r="K137" s="42">
        <f>SUM( K138:K139)</f>
        <v>0</v>
      </c>
      <c r="L137" s="62"/>
      <c r="M137" s="49"/>
      <c r="P137" s="67">
        <v>860</v>
      </c>
    </row>
    <row r="138" spans="3:16" ht="12.75" x14ac:dyDescent="0.2">
      <c r="C138" s="5"/>
      <c r="D138" s="39" t="s">
        <v>277</v>
      </c>
      <c r="E138" s="34" t="s">
        <v>194</v>
      </c>
      <c r="F138" s="12" t="s">
        <v>278</v>
      </c>
      <c r="G138" s="13">
        <f t="shared" si="1"/>
        <v>0</v>
      </c>
      <c r="H138" s="44"/>
      <c r="I138" s="44"/>
      <c r="J138" s="44"/>
      <c r="K138" s="44"/>
      <c r="L138" s="62"/>
      <c r="M138" s="49"/>
      <c r="P138" s="67"/>
    </row>
    <row r="139" spans="3:16" ht="12.75" x14ac:dyDescent="0.2">
      <c r="C139" s="5"/>
      <c r="D139" s="39" t="s">
        <v>279</v>
      </c>
      <c r="E139" s="34" t="s">
        <v>197</v>
      </c>
      <c r="F139" s="12" t="s">
        <v>280</v>
      </c>
      <c r="G139" s="13">
        <f t="shared" si="1"/>
        <v>0</v>
      </c>
      <c r="H139" s="42">
        <f>H140+H141</f>
        <v>0</v>
      </c>
      <c r="I139" s="42">
        <f>I140+I141</f>
        <v>0</v>
      </c>
      <c r="J139" s="42">
        <f>J140+J141</f>
        <v>0</v>
      </c>
      <c r="K139" s="42">
        <f>K140+K141</f>
        <v>0</v>
      </c>
      <c r="L139" s="62"/>
      <c r="M139" s="49"/>
      <c r="P139" s="67"/>
    </row>
    <row r="140" spans="3:16" ht="12.75" x14ac:dyDescent="0.2">
      <c r="C140" s="5"/>
      <c r="D140" s="39" t="s">
        <v>281</v>
      </c>
      <c r="E140" s="35" t="s">
        <v>203</v>
      </c>
      <c r="F140" s="12" t="s">
        <v>282</v>
      </c>
      <c r="G140" s="13">
        <f t="shared" si="1"/>
        <v>0</v>
      </c>
      <c r="H140" s="44"/>
      <c r="I140" s="44"/>
      <c r="J140" s="44"/>
      <c r="K140" s="44"/>
      <c r="L140" s="62"/>
      <c r="M140" s="49"/>
      <c r="P140" s="67"/>
    </row>
    <row r="141" spans="3:16" ht="12.75" x14ac:dyDescent="0.2">
      <c r="C141" s="5"/>
      <c r="D141" s="39" t="s">
        <v>283</v>
      </c>
      <c r="E141" s="35" t="s">
        <v>284</v>
      </c>
      <c r="F141" s="12" t="s">
        <v>285</v>
      </c>
      <c r="G141" s="13">
        <f t="shared" si="1"/>
        <v>0</v>
      </c>
      <c r="H141" s="44"/>
      <c r="I141" s="44"/>
      <c r="J141" s="44"/>
      <c r="K141" s="44"/>
      <c r="L141" s="62"/>
      <c r="M141" s="49"/>
      <c r="P141" s="67"/>
    </row>
    <row r="142" spans="3:16" ht="12.75" x14ac:dyDescent="0.2">
      <c r="C142" s="5"/>
      <c r="D142" s="39" t="s">
        <v>286</v>
      </c>
      <c r="E142" s="14" t="s">
        <v>235</v>
      </c>
      <c r="F142" s="12" t="s">
        <v>287</v>
      </c>
      <c r="G142" s="13">
        <f t="shared" si="1"/>
        <v>0</v>
      </c>
      <c r="H142" s="42">
        <f>H143+H145</f>
        <v>0</v>
      </c>
      <c r="I142" s="42">
        <f>I143+I145</f>
        <v>0</v>
      </c>
      <c r="J142" s="42">
        <f>J143+J145</f>
        <v>0</v>
      </c>
      <c r="K142" s="42">
        <f>K143+K145</f>
        <v>0</v>
      </c>
      <c r="L142" s="62"/>
      <c r="M142" s="49"/>
      <c r="P142" s="67">
        <v>870</v>
      </c>
    </row>
    <row r="143" spans="3:16" ht="12.75" x14ac:dyDescent="0.2">
      <c r="C143" s="5"/>
      <c r="D143" s="39" t="s">
        <v>288</v>
      </c>
      <c r="E143" s="34" t="s">
        <v>265</v>
      </c>
      <c r="F143" s="12" t="s">
        <v>289</v>
      </c>
      <c r="G143" s="13">
        <f t="shared" si="1"/>
        <v>0</v>
      </c>
      <c r="H143" s="40"/>
      <c r="I143" s="40"/>
      <c r="J143" s="40"/>
      <c r="K143" s="40"/>
      <c r="L143" s="62"/>
      <c r="M143" s="49"/>
      <c r="P143" s="67">
        <v>880</v>
      </c>
    </row>
    <row r="144" spans="3:16" ht="12.75" x14ac:dyDescent="0.2">
      <c r="C144" s="5"/>
      <c r="D144" s="39" t="s">
        <v>290</v>
      </c>
      <c r="E144" s="35" t="s">
        <v>268</v>
      </c>
      <c r="F144" s="12" t="s">
        <v>291</v>
      </c>
      <c r="G144" s="13">
        <f t="shared" si="1"/>
        <v>0</v>
      </c>
      <c r="H144" s="40"/>
      <c r="I144" s="40"/>
      <c r="J144" s="40"/>
      <c r="K144" s="40"/>
      <c r="L144" s="62"/>
      <c r="M144" s="49"/>
      <c r="P144" s="67"/>
    </row>
    <row r="145" spans="3:19" ht="12.75" x14ac:dyDescent="0.2">
      <c r="C145" s="5"/>
      <c r="D145" s="39" t="s">
        <v>292</v>
      </c>
      <c r="E145" s="34" t="s">
        <v>271</v>
      </c>
      <c r="F145" s="12" t="s">
        <v>293</v>
      </c>
      <c r="G145" s="13">
        <f t="shared" si="1"/>
        <v>0</v>
      </c>
      <c r="H145" s="45"/>
      <c r="I145" s="45"/>
      <c r="J145" s="45"/>
      <c r="K145" s="45"/>
      <c r="L145" s="62"/>
      <c r="M145" s="49"/>
      <c r="P145" s="67">
        <v>890</v>
      </c>
    </row>
    <row r="146" spans="3:19" ht="22.5" x14ac:dyDescent="0.2">
      <c r="C146" s="5"/>
      <c r="D146" s="39" t="s">
        <v>294</v>
      </c>
      <c r="E146" s="11" t="s">
        <v>295</v>
      </c>
      <c r="F146" s="12" t="s">
        <v>296</v>
      </c>
      <c r="G146" s="13">
        <f t="shared" si="1"/>
        <v>3599.806805916</v>
      </c>
      <c r="H146" s="46">
        <f>SUM( H147:H148)</f>
        <v>2.9719199999999999E-3</v>
      </c>
      <c r="I146" s="46">
        <f>SUM( I147:I148)</f>
        <v>3352.103217756</v>
      </c>
      <c r="J146" s="46">
        <f>SUM( J147:J148)</f>
        <v>156.19753452</v>
      </c>
      <c r="K146" s="46">
        <f>SUM( K147:K148)</f>
        <v>91.503081719999997</v>
      </c>
      <c r="L146" s="62"/>
      <c r="M146" s="49"/>
      <c r="P146" s="67">
        <v>900</v>
      </c>
    </row>
    <row r="147" spans="3:19" ht="12.75" x14ac:dyDescent="0.2">
      <c r="C147" s="5"/>
      <c r="D147" s="39" t="s">
        <v>297</v>
      </c>
      <c r="E147" s="14" t="s">
        <v>173</v>
      </c>
      <c r="F147" s="12" t="s">
        <v>298</v>
      </c>
      <c r="G147" s="13">
        <f t="shared" si="1"/>
        <v>0</v>
      </c>
      <c r="H147" s="45"/>
      <c r="I147" s="45"/>
      <c r="J147" s="45"/>
      <c r="K147" s="45"/>
      <c r="L147" s="62"/>
      <c r="M147" s="49"/>
      <c r="P147" s="67"/>
    </row>
    <row r="148" spans="3:19" ht="12.75" x14ac:dyDescent="0.2">
      <c r="C148" s="5"/>
      <c r="D148" s="39" t="s">
        <v>299</v>
      </c>
      <c r="E148" s="14" t="s">
        <v>176</v>
      </c>
      <c r="F148" s="12" t="s">
        <v>300</v>
      </c>
      <c r="G148" s="13">
        <f t="shared" si="1"/>
        <v>3599.806805916</v>
      </c>
      <c r="H148" s="46">
        <f>H149+H150</f>
        <v>2.9719199999999999E-3</v>
      </c>
      <c r="I148" s="46">
        <f>I149+I150</f>
        <v>3352.103217756</v>
      </c>
      <c r="J148" s="46">
        <f>J149+J150</f>
        <v>156.19753452</v>
      </c>
      <c r="K148" s="46">
        <f>K149+K150</f>
        <v>91.503081719999997</v>
      </c>
      <c r="L148" s="62"/>
      <c r="M148" s="49"/>
      <c r="P148" s="67"/>
    </row>
    <row r="149" spans="3:19" ht="12.75" x14ac:dyDescent="0.2">
      <c r="C149" s="5"/>
      <c r="D149" s="39" t="s">
        <v>301</v>
      </c>
      <c r="E149" s="34" t="s">
        <v>302</v>
      </c>
      <c r="F149" s="12" t="s">
        <v>303</v>
      </c>
      <c r="G149" s="13">
        <f t="shared" si="1"/>
        <v>3018.1360428359999</v>
      </c>
      <c r="H149" s="45"/>
      <c r="I149" s="45">
        <f>I127*56363.61/1000*1.2</f>
        <v>3018.1360428359999</v>
      </c>
      <c r="J149" s="45"/>
      <c r="K149" s="45"/>
      <c r="L149" s="62"/>
      <c r="M149" s="49"/>
      <c r="P149" s="67" t="s">
        <v>333</v>
      </c>
    </row>
    <row r="150" spans="3:19" ht="12.75" x14ac:dyDescent="0.2">
      <c r="C150" s="5"/>
      <c r="D150" s="39" t="s">
        <v>304</v>
      </c>
      <c r="E150" s="34" t="s">
        <v>271</v>
      </c>
      <c r="F150" s="12" t="s">
        <v>305</v>
      </c>
      <c r="G150" s="13">
        <f t="shared" si="1"/>
        <v>581.67076307999992</v>
      </c>
      <c r="H150" s="45">
        <f>H128*88.45/1000*1.2</f>
        <v>2.9719199999999999E-3</v>
      </c>
      <c r="I150" s="45">
        <f>I128*88.45/1000*1.2</f>
        <v>333.96717491999999</v>
      </c>
      <c r="J150" s="45">
        <f>J128*88.45/1000*1.2</f>
        <v>156.19753452</v>
      </c>
      <c r="K150" s="45">
        <f>K128*88.45/1000*1.2</f>
        <v>91.503081719999997</v>
      </c>
      <c r="L150" s="62"/>
      <c r="M150" s="49"/>
      <c r="P150" s="67" t="s">
        <v>334</v>
      </c>
    </row>
    <row r="151" spans="3:19" x14ac:dyDescent="0.25">
      <c r="D151" s="4"/>
      <c r="E151" s="47"/>
      <c r="F151" s="47"/>
      <c r="G151" s="47"/>
      <c r="H151" s="47"/>
      <c r="I151" s="47"/>
      <c r="J151" s="47"/>
      <c r="K151" s="48"/>
      <c r="L151" s="48"/>
      <c r="M151" s="48"/>
      <c r="N151" s="48"/>
      <c r="O151" s="48"/>
      <c r="P151" s="48"/>
      <c r="Q151" s="48"/>
      <c r="R151" s="63"/>
      <c r="S151" s="63"/>
    </row>
    <row r="152" spans="3:19" ht="12.75" x14ac:dyDescent="0.2">
      <c r="E152" s="49" t="s">
        <v>306</v>
      </c>
      <c r="F152" s="108" t="str">
        <f>IF([3]Титульный!G45="","",[3]Титульный!G45)</f>
        <v>экономист</v>
      </c>
      <c r="G152" s="108"/>
      <c r="H152" s="50"/>
      <c r="I152" s="108" t="str">
        <f>IF([3]Титульный!G44="","",[3]Титульный!G44)</f>
        <v>Кривнева Е. В.</v>
      </c>
      <c r="J152" s="108"/>
      <c r="K152" s="108"/>
      <c r="L152" s="50"/>
      <c r="M152" s="72"/>
      <c r="N152" s="72"/>
      <c r="O152" s="52"/>
      <c r="P152" s="48"/>
      <c r="Q152" s="48"/>
      <c r="R152" s="63"/>
      <c r="S152" s="63"/>
    </row>
    <row r="153" spans="3:19" ht="12.75" x14ac:dyDescent="0.2">
      <c r="E153" s="51" t="s">
        <v>307</v>
      </c>
      <c r="F153" s="109" t="s">
        <v>308</v>
      </c>
      <c r="G153" s="109"/>
      <c r="H153" s="52"/>
      <c r="I153" s="109" t="s">
        <v>309</v>
      </c>
      <c r="J153" s="109"/>
      <c r="K153" s="109"/>
      <c r="L153" s="52"/>
      <c r="M153" s="109" t="s">
        <v>335</v>
      </c>
      <c r="N153" s="109"/>
      <c r="O153" s="49"/>
      <c r="P153" s="48"/>
      <c r="Q153" s="48"/>
      <c r="R153" s="63"/>
      <c r="S153" s="63"/>
    </row>
    <row r="154" spans="3:19" ht="12.75" x14ac:dyDescent="0.2">
      <c r="E154" s="51" t="s">
        <v>310</v>
      </c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8"/>
      <c r="Q154" s="48"/>
      <c r="R154" s="63"/>
      <c r="S154" s="63"/>
    </row>
    <row r="155" spans="3:19" ht="12.75" x14ac:dyDescent="0.2">
      <c r="E155" s="51" t="s">
        <v>311</v>
      </c>
      <c r="F155" s="108" t="str">
        <f>IF([3]Титульный!G46="","",[3]Титульный!G46)</f>
        <v>(861) 258-50-71</v>
      </c>
      <c r="G155" s="108"/>
      <c r="H155" s="108"/>
      <c r="I155" s="49"/>
      <c r="J155" s="51" t="s">
        <v>312</v>
      </c>
      <c r="K155" s="75"/>
      <c r="L155" s="49"/>
      <c r="M155" s="49"/>
      <c r="N155" s="49"/>
      <c r="O155" s="49"/>
      <c r="P155" s="48"/>
      <c r="Q155" s="48"/>
      <c r="R155" s="63"/>
      <c r="S155" s="63"/>
    </row>
    <row r="156" spans="3:19" ht="12.75" x14ac:dyDescent="0.2">
      <c r="E156" s="49" t="s">
        <v>313</v>
      </c>
      <c r="F156" s="110" t="s">
        <v>314</v>
      </c>
      <c r="G156" s="110"/>
      <c r="H156" s="110"/>
      <c r="I156" s="49"/>
      <c r="J156" s="53" t="s">
        <v>315</v>
      </c>
      <c r="K156" s="53"/>
      <c r="L156" s="49"/>
      <c r="M156" s="49"/>
      <c r="N156" s="49"/>
      <c r="O156" s="49"/>
      <c r="P156" s="48"/>
      <c r="Q156" s="48"/>
      <c r="R156" s="63"/>
      <c r="S156" s="63"/>
    </row>
    <row r="157" spans="3:19" x14ac:dyDescent="0.25"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63"/>
      <c r="S157" s="63"/>
    </row>
    <row r="158" spans="3:19" x14ac:dyDescent="0.25"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63"/>
      <c r="S158" s="63"/>
    </row>
    <row r="159" spans="3:19" x14ac:dyDescent="0.25">
      <c r="E159" s="48"/>
      <c r="F159" s="48"/>
      <c r="G159" s="79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63"/>
      <c r="S159" s="63"/>
    </row>
    <row r="160" spans="3:19" x14ac:dyDescent="0.25"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63"/>
      <c r="S160" s="63"/>
    </row>
    <row r="161" spans="5:19" x14ac:dyDescent="0.25">
      <c r="E161" s="48"/>
      <c r="F161" s="48"/>
      <c r="G161" s="79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63"/>
      <c r="S161" s="63"/>
    </row>
    <row r="162" spans="5:19" x14ac:dyDescent="0.25"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63"/>
      <c r="S162" s="63"/>
    </row>
    <row r="163" spans="5:19" x14ac:dyDescent="0.25"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63"/>
      <c r="S163" s="63"/>
    </row>
    <row r="164" spans="5:19" x14ac:dyDescent="0.25"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63"/>
      <c r="S164" s="63"/>
    </row>
    <row r="165" spans="5:19" x14ac:dyDescent="0.25"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63"/>
      <c r="S165" s="63"/>
    </row>
    <row r="166" spans="5:19" x14ac:dyDescent="0.25"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63"/>
      <c r="S166" s="63"/>
    </row>
    <row r="167" spans="5:19" x14ac:dyDescent="0.25"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63"/>
      <c r="S167" s="63"/>
    </row>
    <row r="168" spans="5:19" x14ac:dyDescent="0.25"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63"/>
      <c r="S168" s="63"/>
    </row>
    <row r="169" spans="5:19" x14ac:dyDescent="0.25"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63"/>
      <c r="S169" s="63"/>
    </row>
    <row r="170" spans="5:19" x14ac:dyDescent="0.25"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63"/>
      <c r="S170" s="63"/>
    </row>
    <row r="171" spans="5:19" x14ac:dyDescent="0.25"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63"/>
      <c r="S171" s="63"/>
    </row>
    <row r="172" spans="5:19" x14ac:dyDescent="0.25"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63"/>
      <c r="S172" s="63"/>
    </row>
    <row r="173" spans="5:19" x14ac:dyDescent="0.25"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63"/>
      <c r="S173" s="63"/>
    </row>
    <row r="174" spans="5:19" x14ac:dyDescent="0.25"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63"/>
      <c r="S174" s="63"/>
    </row>
    <row r="175" spans="5:19" x14ac:dyDescent="0.25"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63"/>
      <c r="S175" s="63"/>
    </row>
    <row r="176" spans="5:19" x14ac:dyDescent="0.25"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63"/>
      <c r="S176" s="63"/>
    </row>
    <row r="177" spans="5:19" x14ac:dyDescent="0.25"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63"/>
      <c r="S177" s="63"/>
    </row>
    <row r="178" spans="5:19" x14ac:dyDescent="0.25"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63"/>
      <c r="S178" s="63"/>
    </row>
    <row r="179" spans="5:19" x14ac:dyDescent="0.25"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63"/>
      <c r="S179" s="63"/>
    </row>
    <row r="180" spans="5:19" x14ac:dyDescent="0.25"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63"/>
      <c r="S180" s="63"/>
    </row>
    <row r="181" spans="5:19" x14ac:dyDescent="0.25"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63"/>
      <c r="S181" s="63"/>
    </row>
    <row r="182" spans="5:19" x14ac:dyDescent="0.25"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5:19" x14ac:dyDescent="0.25"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5:19" x14ac:dyDescent="0.25"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5:19" x14ac:dyDescent="0.25"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</sheetData>
  <mergeCells count="18">
    <mergeCell ref="F153:G153"/>
    <mergeCell ref="I153:K153"/>
    <mergeCell ref="M153:N153"/>
    <mergeCell ref="F155:H155"/>
    <mergeCell ref="F156:H156"/>
    <mergeCell ref="F152:G152"/>
    <mergeCell ref="I152:K152"/>
    <mergeCell ref="D8:E8"/>
    <mergeCell ref="D11:D12"/>
    <mergeCell ref="E11:E12"/>
    <mergeCell ref="F11:F12"/>
    <mergeCell ref="G11:G12"/>
    <mergeCell ref="H11:K11"/>
    <mergeCell ref="D14:K14"/>
    <mergeCell ref="D53:K53"/>
    <mergeCell ref="D92:K92"/>
    <mergeCell ref="D96:K96"/>
    <mergeCell ref="D129:K129"/>
  </mergeCells>
  <dataValidations count="2">
    <dataValidation allowBlank="1" showInputMessage="1" promptTitle="Ввод" prompt="Для выбора организации необходимо два раза нажать левую клавишу мыши!" sqref="E42 E25:E26 E81 E64:E65"/>
    <dataValidation type="decimal" allowBlank="1" showErrorMessage="1" errorTitle="Ошибка" error="Допускается ввод только действительных чисел!" sqref="G54:K57 G93:K95 G67:K81 G15:K18 G83:K91 G97:K128 G23:K26 G44:K52 G28:K42 G130:K150 G59:K60 G20:K21 G62:K65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85"/>
  <sheetViews>
    <sheetView topLeftCell="C7" workbookViewId="0">
      <selection activeCell="K150" sqref="K150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17" width="12.85546875" style="1" customWidth="1"/>
    <col min="18" max="35" width="11.7109375" style="1" customWidth="1"/>
    <col min="36" max="16384" width="9.140625" style="1"/>
  </cols>
  <sheetData>
    <row r="1" spans="1:81" hidden="1" x14ac:dyDescent="0.25">
      <c r="S1" s="54"/>
      <c r="T1" s="54"/>
      <c r="U1" s="54"/>
      <c r="V1" s="54"/>
      <c r="Y1" s="54"/>
      <c r="AA1" s="54"/>
      <c r="AN1" s="54"/>
      <c r="AO1" s="54"/>
      <c r="AP1" s="54"/>
      <c r="BC1" s="54"/>
      <c r="BF1" s="54"/>
      <c r="BI1" s="54"/>
      <c r="BM1" s="54"/>
      <c r="BO1" s="54"/>
      <c r="BX1" s="54"/>
      <c r="BY1" s="54"/>
      <c r="CC1" s="54"/>
    </row>
    <row r="2" spans="1:81" hidden="1" x14ac:dyDescent="0.25"/>
    <row r="3" spans="1:81" hidden="1" x14ac:dyDescent="0.25"/>
    <row r="4" spans="1:81" hidden="1" x14ac:dyDescent="0.25">
      <c r="A4" s="55"/>
      <c r="F4" s="56"/>
      <c r="G4" s="56"/>
      <c r="H4" s="56"/>
      <c r="I4" s="56"/>
      <c r="J4" s="56"/>
      <c r="K4" s="56"/>
      <c r="M4" s="56"/>
      <c r="N4" s="56"/>
      <c r="O4" s="56"/>
      <c r="P4" s="56"/>
      <c r="Q4" s="56"/>
    </row>
    <row r="5" spans="1:81" hidden="1" x14ac:dyDescent="0.25">
      <c r="A5" s="57"/>
      <c r="F5" s="1" t="s">
        <v>316</v>
      </c>
      <c r="G5" s="1" t="s">
        <v>317</v>
      </c>
      <c r="H5" s="1" t="s">
        <v>318</v>
      </c>
      <c r="I5" s="1" t="s">
        <v>319</v>
      </c>
      <c r="J5" s="1" t="s">
        <v>320</v>
      </c>
      <c r="K5" s="1" t="s">
        <v>321</v>
      </c>
      <c r="L5" s="1" t="s">
        <v>322</v>
      </c>
      <c r="M5" s="1" t="s">
        <v>323</v>
      </c>
      <c r="N5" s="1" t="s">
        <v>323</v>
      </c>
      <c r="O5" s="1" t="s">
        <v>324</v>
      </c>
      <c r="P5" s="1" t="s">
        <v>325</v>
      </c>
      <c r="Q5" s="1" t="s">
        <v>326</v>
      </c>
    </row>
    <row r="6" spans="1:81" hidden="1" x14ac:dyDescent="0.25">
      <c r="A6" s="57"/>
    </row>
    <row r="7" spans="1:81" ht="12" customHeight="1" x14ac:dyDescent="0.25">
      <c r="A7" s="57"/>
      <c r="D7" s="5"/>
      <c r="E7" s="5"/>
      <c r="F7" s="5"/>
      <c r="G7" s="5"/>
      <c r="H7" s="5"/>
      <c r="I7" s="5"/>
      <c r="J7" s="5"/>
      <c r="K7" s="58"/>
      <c r="Q7" s="66"/>
    </row>
    <row r="8" spans="1:81" ht="22.5" customHeight="1" x14ac:dyDescent="0.25">
      <c r="A8" s="57"/>
      <c r="D8" s="104" t="s">
        <v>0</v>
      </c>
      <c r="E8" s="10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81" x14ac:dyDescent="0.25">
      <c r="A9" s="57"/>
      <c r="D9" s="3" t="s">
        <v>345</v>
      </c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81" ht="12" customHeight="1" x14ac:dyDescent="0.25">
      <c r="D10" s="4"/>
      <c r="E10" s="4"/>
      <c r="F10" s="5"/>
      <c r="G10" s="5"/>
      <c r="H10" s="5"/>
      <c r="I10" s="5"/>
      <c r="K10" s="6" t="s">
        <v>1</v>
      </c>
    </row>
    <row r="11" spans="1:81" ht="15" customHeight="1" x14ac:dyDescent="0.25">
      <c r="C11" s="5"/>
      <c r="D11" s="105" t="s">
        <v>2</v>
      </c>
      <c r="E11" s="102" t="s">
        <v>3</v>
      </c>
      <c r="F11" s="102" t="s">
        <v>4</v>
      </c>
      <c r="G11" s="102" t="s">
        <v>5</v>
      </c>
      <c r="H11" s="102" t="s">
        <v>6</v>
      </c>
      <c r="I11" s="102"/>
      <c r="J11" s="102"/>
      <c r="K11" s="103"/>
      <c r="L11" s="59"/>
    </row>
    <row r="12" spans="1:81" ht="15" customHeight="1" x14ac:dyDescent="0.25">
      <c r="C12" s="5"/>
      <c r="D12" s="106"/>
      <c r="E12" s="107"/>
      <c r="F12" s="107"/>
      <c r="G12" s="107"/>
      <c r="H12" s="77" t="s">
        <v>7</v>
      </c>
      <c r="I12" s="77" t="s">
        <v>8</v>
      </c>
      <c r="J12" s="77" t="s">
        <v>9</v>
      </c>
      <c r="K12" s="7" t="s">
        <v>10</v>
      </c>
      <c r="L12" s="59"/>
    </row>
    <row r="13" spans="1:81" ht="12" customHeight="1" x14ac:dyDescent="0.25">
      <c r="D13" s="8">
        <v>0</v>
      </c>
      <c r="E13" s="8">
        <v>1</v>
      </c>
      <c r="F13" s="8">
        <v>2</v>
      </c>
      <c r="G13" s="8">
        <v>3</v>
      </c>
      <c r="H13" s="8">
        <v>4</v>
      </c>
      <c r="I13" s="8">
        <v>5</v>
      </c>
      <c r="J13" s="8">
        <v>6</v>
      </c>
      <c r="K13" s="8">
        <v>7</v>
      </c>
    </row>
    <row r="14" spans="1:81" s="60" customFormat="1" ht="15" customHeight="1" x14ac:dyDescent="0.25">
      <c r="C14" s="9"/>
      <c r="D14" s="99" t="s">
        <v>11</v>
      </c>
      <c r="E14" s="100"/>
      <c r="F14" s="100"/>
      <c r="G14" s="100"/>
      <c r="H14" s="100"/>
      <c r="I14" s="100"/>
      <c r="J14" s="100"/>
      <c r="K14" s="101"/>
      <c r="L14" s="61"/>
      <c r="M14" s="89"/>
      <c r="N14" s="89"/>
      <c r="O14" s="89"/>
      <c r="P14" s="89"/>
      <c r="Q14" s="89"/>
      <c r="R14" s="89"/>
    </row>
    <row r="15" spans="1:81" s="60" customFormat="1" ht="15" customHeight="1" x14ac:dyDescent="0.2">
      <c r="C15" s="9"/>
      <c r="D15" s="10" t="s">
        <v>12</v>
      </c>
      <c r="E15" s="11" t="s">
        <v>13</v>
      </c>
      <c r="F15" s="12">
        <v>10</v>
      </c>
      <c r="G15" s="13">
        <f>SUM(H15:K15)</f>
        <v>6000.594000000001</v>
      </c>
      <c r="H15" s="13">
        <f>H16+H17+H20+H23</f>
        <v>818.74800000000005</v>
      </c>
      <c r="I15" s="13">
        <f>I16+I17+I20+I23</f>
        <v>4374.6660000000002</v>
      </c>
      <c r="J15" s="13">
        <f>J16+J17+J20+J23</f>
        <v>807.18000000000006</v>
      </c>
      <c r="K15" s="13">
        <f>K16+K17+K20+K23</f>
        <v>0</v>
      </c>
      <c r="L15" s="61"/>
      <c r="M15" s="90">
        <f>январь!H15+февраль!H15+март!H15+апрель!H15+май!H15+июнь!H15</f>
        <v>5096.6859999999997</v>
      </c>
      <c r="N15" s="90">
        <f>январь!I15+февраль!I15+март!I15+апрель!I15+май!I15+июнь!I15</f>
        <v>28947.875</v>
      </c>
      <c r="O15" s="90">
        <f>январь!J15+февраль!J15+март!J15+апрель!J15+май!J15+июнь!J15</f>
        <v>4183.6380000000008</v>
      </c>
      <c r="P15" s="90">
        <f>январь!K15+февраль!K15+март!K15+апрель!K15+май!K15+июнь!K15</f>
        <v>0</v>
      </c>
      <c r="Q15" s="91">
        <f>SUM(M15:P15)</f>
        <v>38228.199000000001</v>
      </c>
      <c r="R15" s="89"/>
    </row>
    <row r="16" spans="1:81" s="60" customFormat="1" ht="15" customHeight="1" x14ac:dyDescent="0.2">
      <c r="C16" s="9"/>
      <c r="D16" s="10" t="s">
        <v>14</v>
      </c>
      <c r="E16" s="14" t="s">
        <v>15</v>
      </c>
      <c r="F16" s="12">
        <v>20</v>
      </c>
      <c r="G16" s="13">
        <f t="shared" ref="G16:G136" si="0">SUM(H16:K16)</f>
        <v>0</v>
      </c>
      <c r="H16" s="15"/>
      <c r="I16" s="15"/>
      <c r="J16" s="15"/>
      <c r="K16" s="15"/>
      <c r="L16" s="61"/>
      <c r="M16" s="81"/>
      <c r="N16" s="89"/>
      <c r="O16" s="89"/>
      <c r="P16" s="67">
        <v>20</v>
      </c>
      <c r="Q16" s="89"/>
      <c r="R16" s="89"/>
    </row>
    <row r="17" spans="3:18" s="60" customFormat="1" ht="12.75" x14ac:dyDescent="0.2">
      <c r="C17" s="9"/>
      <c r="D17" s="10" t="s">
        <v>16</v>
      </c>
      <c r="E17" s="14" t="s">
        <v>17</v>
      </c>
      <c r="F17" s="12">
        <v>30</v>
      </c>
      <c r="G17" s="13">
        <f t="shared" si="0"/>
        <v>0</v>
      </c>
      <c r="H17" s="13">
        <f>SUM(H18:H19)</f>
        <v>0</v>
      </c>
      <c r="I17" s="13">
        <f>SUM(I18:I19)</f>
        <v>0</v>
      </c>
      <c r="J17" s="13">
        <f>SUM(J18:J19)</f>
        <v>0</v>
      </c>
      <c r="K17" s="13">
        <f>SUM(K18:K19)</f>
        <v>0</v>
      </c>
      <c r="L17" s="61"/>
      <c r="M17" s="81"/>
      <c r="N17" s="89"/>
      <c r="O17" s="89"/>
      <c r="P17" s="67">
        <v>30</v>
      </c>
      <c r="Q17" s="89"/>
      <c r="R17" s="89"/>
    </row>
    <row r="18" spans="3:18" s="60" customFormat="1" ht="12.75" x14ac:dyDescent="0.2">
      <c r="C18" s="9"/>
      <c r="D18" s="16" t="s">
        <v>18</v>
      </c>
      <c r="E18" s="17"/>
      <c r="F18" s="18" t="s">
        <v>19</v>
      </c>
      <c r="G18" s="19"/>
      <c r="H18" s="19"/>
      <c r="I18" s="19"/>
      <c r="J18" s="19"/>
      <c r="K18" s="19"/>
      <c r="L18" s="61"/>
      <c r="M18" s="81"/>
      <c r="N18" s="89"/>
      <c r="O18" s="89"/>
      <c r="P18" s="67"/>
      <c r="Q18" s="89"/>
      <c r="R18" s="89"/>
    </row>
    <row r="19" spans="3:18" s="60" customFormat="1" ht="12.75" x14ac:dyDescent="0.2">
      <c r="C19" s="9"/>
      <c r="D19" s="20"/>
      <c r="E19" s="21" t="s">
        <v>20</v>
      </c>
      <c r="F19" s="22"/>
      <c r="G19" s="22"/>
      <c r="H19" s="22"/>
      <c r="I19" s="22"/>
      <c r="J19" s="22"/>
      <c r="K19" s="23"/>
      <c r="L19" s="61"/>
      <c r="M19" s="81"/>
      <c r="N19" s="89"/>
      <c r="O19" s="89"/>
      <c r="P19" s="68"/>
      <c r="Q19" s="89"/>
      <c r="R19" s="89"/>
    </row>
    <row r="20" spans="3:18" s="60" customFormat="1" ht="12.75" x14ac:dyDescent="0.2">
      <c r="C20" s="9"/>
      <c r="D20" s="10" t="s">
        <v>21</v>
      </c>
      <c r="E20" s="14" t="s">
        <v>22</v>
      </c>
      <c r="F20" s="12" t="s">
        <v>23</v>
      </c>
      <c r="G20" s="13">
        <f t="shared" si="0"/>
        <v>0</v>
      </c>
      <c r="H20" s="13">
        <f>SUM(H21:H22)</f>
        <v>0</v>
      </c>
      <c r="I20" s="13">
        <f>SUM(I21:I22)</f>
        <v>0</v>
      </c>
      <c r="J20" s="13">
        <f>SUM(J21:J22)</f>
        <v>0</v>
      </c>
      <c r="K20" s="13">
        <f>SUM(K21:K22)</f>
        <v>0</v>
      </c>
      <c r="L20" s="61"/>
      <c r="M20" s="81"/>
      <c r="N20" s="89"/>
      <c r="O20" s="89"/>
      <c r="P20" s="68"/>
      <c r="Q20" s="89"/>
      <c r="R20" s="89"/>
    </row>
    <row r="21" spans="3:18" s="60" customFormat="1" ht="12.75" x14ac:dyDescent="0.2">
      <c r="C21" s="9"/>
      <c r="D21" s="16" t="s">
        <v>24</v>
      </c>
      <c r="E21" s="17"/>
      <c r="F21" s="18" t="s">
        <v>23</v>
      </c>
      <c r="G21" s="19"/>
      <c r="H21" s="19"/>
      <c r="I21" s="19"/>
      <c r="J21" s="19"/>
      <c r="K21" s="19"/>
      <c r="L21" s="61"/>
      <c r="M21" s="81"/>
      <c r="N21" s="89"/>
      <c r="O21" s="89"/>
      <c r="P21" s="67"/>
      <c r="Q21" s="89"/>
      <c r="R21" s="89"/>
    </row>
    <row r="22" spans="3:18" s="60" customFormat="1" ht="12.75" x14ac:dyDescent="0.2">
      <c r="C22" s="9"/>
      <c r="D22" s="20"/>
      <c r="E22" s="21" t="s">
        <v>20</v>
      </c>
      <c r="F22" s="22"/>
      <c r="G22" s="22"/>
      <c r="H22" s="22"/>
      <c r="I22" s="22"/>
      <c r="J22" s="22"/>
      <c r="K22" s="23"/>
      <c r="L22" s="61"/>
      <c r="M22" s="81"/>
      <c r="N22" s="89"/>
      <c r="O22" s="89"/>
      <c r="P22" s="68"/>
      <c r="Q22" s="89"/>
      <c r="R22" s="89"/>
    </row>
    <row r="23" spans="3:18" s="60" customFormat="1" ht="12.75" x14ac:dyDescent="0.2">
      <c r="C23" s="9"/>
      <c r="D23" s="10" t="s">
        <v>25</v>
      </c>
      <c r="E23" s="14" t="s">
        <v>26</v>
      </c>
      <c r="F23" s="12" t="s">
        <v>27</v>
      </c>
      <c r="G23" s="13">
        <f t="shared" si="0"/>
        <v>6000.594000000001</v>
      </c>
      <c r="H23" s="13">
        <f>SUM(H24:H27)</f>
        <v>818.74800000000005</v>
      </c>
      <c r="I23" s="13">
        <f>SUM(I24:I27)</f>
        <v>4374.6660000000002</v>
      </c>
      <c r="J23" s="13">
        <f>SUM(J24:J27)</f>
        <v>807.18000000000006</v>
      </c>
      <c r="K23" s="13">
        <f>SUM(K24:K27)</f>
        <v>0</v>
      </c>
      <c r="L23" s="61"/>
      <c r="M23" s="81"/>
      <c r="N23" s="89"/>
      <c r="O23" s="89"/>
      <c r="P23" s="67">
        <v>40</v>
      </c>
      <c r="Q23" s="89"/>
      <c r="R23" s="89"/>
    </row>
    <row r="24" spans="3:18" s="60" customFormat="1" ht="12.75" x14ac:dyDescent="0.2">
      <c r="C24" s="9"/>
      <c r="D24" s="16" t="s">
        <v>28</v>
      </c>
      <c r="E24" s="17"/>
      <c r="F24" s="18" t="s">
        <v>27</v>
      </c>
      <c r="G24" s="19"/>
      <c r="H24" s="19"/>
      <c r="I24" s="19"/>
      <c r="J24" s="19"/>
      <c r="K24" s="19"/>
      <c r="L24" s="61"/>
      <c r="M24" s="81"/>
      <c r="N24" s="89"/>
      <c r="O24" s="89"/>
      <c r="P24" s="67"/>
      <c r="Q24" s="89"/>
      <c r="R24" s="89"/>
    </row>
    <row r="25" spans="3:18" s="60" customFormat="1" ht="15" x14ac:dyDescent="0.25">
      <c r="C25" s="24" t="s">
        <v>29</v>
      </c>
      <c r="D25" s="25" t="s">
        <v>30</v>
      </c>
      <c r="E25" s="26" t="s">
        <v>344</v>
      </c>
      <c r="F25" s="27">
        <v>431</v>
      </c>
      <c r="G25" s="28">
        <f>SUM(H25:K25)</f>
        <v>5644.1140000000005</v>
      </c>
      <c r="H25" s="29">
        <v>818.74800000000005</v>
      </c>
      <c r="I25" s="29">
        <v>4374.6660000000002</v>
      </c>
      <c r="J25" s="29">
        <v>450.7</v>
      </c>
      <c r="K25" s="30"/>
      <c r="L25" s="61"/>
      <c r="M25" s="69" t="s">
        <v>327</v>
      </c>
      <c r="N25" s="70" t="s">
        <v>328</v>
      </c>
      <c r="O25" s="70" t="s">
        <v>329</v>
      </c>
      <c r="P25" s="89"/>
      <c r="Q25" s="89"/>
      <c r="R25" s="89"/>
    </row>
    <row r="26" spans="3:18" s="60" customFormat="1" ht="15" x14ac:dyDescent="0.25">
      <c r="C26" s="24" t="s">
        <v>29</v>
      </c>
      <c r="D26" s="25" t="s">
        <v>342</v>
      </c>
      <c r="E26" s="26" t="s">
        <v>68</v>
      </c>
      <c r="F26" s="27">
        <v>432</v>
      </c>
      <c r="G26" s="28">
        <f>SUM(H26:K26)</f>
        <v>356.48</v>
      </c>
      <c r="H26" s="29"/>
      <c r="I26" s="29"/>
      <c r="J26" s="29">
        <v>356.48</v>
      </c>
      <c r="K26" s="30"/>
      <c r="L26" s="61"/>
      <c r="M26" s="69" t="s">
        <v>330</v>
      </c>
      <c r="N26" s="70" t="s">
        <v>328</v>
      </c>
      <c r="O26" s="70" t="s">
        <v>332</v>
      </c>
      <c r="P26" s="89"/>
      <c r="Q26" s="89"/>
      <c r="R26" s="89"/>
    </row>
    <row r="27" spans="3:18" s="60" customFormat="1" ht="12.75" x14ac:dyDescent="0.2">
      <c r="C27" s="9"/>
      <c r="D27" s="20"/>
      <c r="E27" s="21" t="s">
        <v>20</v>
      </c>
      <c r="F27" s="22"/>
      <c r="G27" s="22"/>
      <c r="H27" s="22"/>
      <c r="I27" s="22"/>
      <c r="J27" s="22"/>
      <c r="K27" s="23"/>
      <c r="L27" s="61"/>
      <c r="M27" s="81"/>
      <c r="N27" s="89"/>
      <c r="O27" s="89"/>
      <c r="P27" s="67"/>
      <c r="Q27" s="89"/>
      <c r="R27" s="89"/>
    </row>
    <row r="28" spans="3:18" s="60" customFormat="1" ht="12.75" x14ac:dyDescent="0.2">
      <c r="C28" s="9"/>
      <c r="D28" s="10" t="s">
        <v>31</v>
      </c>
      <c r="E28" s="11" t="s">
        <v>32</v>
      </c>
      <c r="F28" s="12" t="s">
        <v>33</v>
      </c>
      <c r="G28" s="13">
        <f t="shared" si="0"/>
        <v>2683.3920000000007</v>
      </c>
      <c r="H28" s="13">
        <f>H30+H31+H32</f>
        <v>0</v>
      </c>
      <c r="I28" s="13">
        <f>I29+I31+I32</f>
        <v>0</v>
      </c>
      <c r="J28" s="13">
        <f>J29+J30+J32</f>
        <v>1760.0980000000004</v>
      </c>
      <c r="K28" s="13">
        <f>K29+K30+K31</f>
        <v>923.2940000000001</v>
      </c>
      <c r="L28" s="61"/>
      <c r="M28" s="81"/>
      <c r="N28" s="89"/>
      <c r="O28" s="89"/>
      <c r="P28" s="67">
        <v>50</v>
      </c>
      <c r="Q28" s="89"/>
      <c r="R28" s="89"/>
    </row>
    <row r="29" spans="3:18" s="60" customFormat="1" ht="12.75" x14ac:dyDescent="0.2">
      <c r="C29" s="9"/>
      <c r="D29" s="10" t="s">
        <v>34</v>
      </c>
      <c r="E29" s="14" t="s">
        <v>7</v>
      </c>
      <c r="F29" s="12" t="s">
        <v>35</v>
      </c>
      <c r="G29" s="13">
        <f t="shared" si="0"/>
        <v>818.68900000000008</v>
      </c>
      <c r="H29" s="31"/>
      <c r="I29" s="15"/>
      <c r="J29" s="15">
        <f>H45</f>
        <v>818.68900000000008</v>
      </c>
      <c r="K29" s="15"/>
      <c r="L29" s="61"/>
      <c r="M29" s="81"/>
      <c r="N29" s="89"/>
      <c r="O29" s="89"/>
      <c r="P29" s="67">
        <v>60</v>
      </c>
      <c r="Q29" s="89"/>
      <c r="R29" s="89"/>
    </row>
    <row r="30" spans="3:18" s="60" customFormat="1" ht="12.75" x14ac:dyDescent="0.2">
      <c r="C30" s="9"/>
      <c r="D30" s="10" t="s">
        <v>36</v>
      </c>
      <c r="E30" s="14" t="s">
        <v>8</v>
      </c>
      <c r="F30" s="12" t="s">
        <v>37</v>
      </c>
      <c r="G30" s="13">
        <f t="shared" si="0"/>
        <v>941.40900000000022</v>
      </c>
      <c r="H30" s="15"/>
      <c r="I30" s="31"/>
      <c r="J30" s="15">
        <f>I25-I34-I48</f>
        <v>941.40900000000022</v>
      </c>
      <c r="K30" s="15"/>
      <c r="L30" s="61"/>
      <c r="M30" s="81"/>
      <c r="N30" s="89"/>
      <c r="O30" s="89"/>
      <c r="P30" s="67">
        <v>70</v>
      </c>
      <c r="Q30" s="89"/>
      <c r="R30" s="89"/>
    </row>
    <row r="31" spans="3:18" s="60" customFormat="1" ht="12.75" x14ac:dyDescent="0.2">
      <c r="C31" s="9"/>
      <c r="D31" s="10" t="s">
        <v>38</v>
      </c>
      <c r="E31" s="14" t="s">
        <v>9</v>
      </c>
      <c r="F31" s="12" t="s">
        <v>39</v>
      </c>
      <c r="G31" s="13">
        <f t="shared" si="0"/>
        <v>923.2940000000001</v>
      </c>
      <c r="H31" s="15"/>
      <c r="I31" s="15"/>
      <c r="J31" s="31"/>
      <c r="K31" s="15">
        <f>J23+J28+J17-J48-J34</f>
        <v>923.2940000000001</v>
      </c>
      <c r="L31" s="61"/>
      <c r="M31" s="81"/>
      <c r="N31" s="89"/>
      <c r="O31" s="89"/>
      <c r="P31" s="67">
        <v>80</v>
      </c>
      <c r="Q31" s="89"/>
      <c r="R31" s="89"/>
    </row>
    <row r="32" spans="3:18" s="60" customFormat="1" ht="12.75" x14ac:dyDescent="0.2">
      <c r="C32" s="9"/>
      <c r="D32" s="10" t="s">
        <v>40</v>
      </c>
      <c r="E32" s="14" t="s">
        <v>41</v>
      </c>
      <c r="F32" s="12" t="s">
        <v>42</v>
      </c>
      <c r="G32" s="13">
        <f t="shared" si="0"/>
        <v>0</v>
      </c>
      <c r="H32" s="15"/>
      <c r="I32" s="15"/>
      <c r="J32" s="15"/>
      <c r="K32" s="31"/>
      <c r="L32" s="61"/>
      <c r="M32" s="81"/>
      <c r="N32" s="89"/>
      <c r="O32" s="89"/>
      <c r="P32" s="67">
        <v>90</v>
      </c>
      <c r="Q32" s="89"/>
      <c r="R32" s="89"/>
    </row>
    <row r="33" spans="3:18" s="60" customFormat="1" ht="12.75" x14ac:dyDescent="0.2">
      <c r="C33" s="9"/>
      <c r="D33" s="10" t="s">
        <v>43</v>
      </c>
      <c r="E33" s="32" t="s">
        <v>44</v>
      </c>
      <c r="F33" s="12" t="s">
        <v>45</v>
      </c>
      <c r="G33" s="13">
        <f t="shared" si="0"/>
        <v>0</v>
      </c>
      <c r="H33" s="15"/>
      <c r="I33" s="15"/>
      <c r="J33" s="15"/>
      <c r="K33" s="15"/>
      <c r="L33" s="61"/>
      <c r="M33" s="81"/>
      <c r="N33" s="89"/>
      <c r="O33" s="89"/>
      <c r="P33" s="67"/>
      <c r="Q33" s="89"/>
      <c r="R33" s="89"/>
    </row>
    <row r="34" spans="3:18" s="60" customFormat="1" ht="12.75" x14ac:dyDescent="0.2">
      <c r="C34" s="9"/>
      <c r="D34" s="10" t="s">
        <v>46</v>
      </c>
      <c r="E34" s="11" t="s">
        <v>47</v>
      </c>
      <c r="F34" s="33" t="s">
        <v>48</v>
      </c>
      <c r="G34" s="13">
        <f t="shared" si="0"/>
        <v>5830.9209999999994</v>
      </c>
      <c r="H34" s="13">
        <f>H35+H37+H40+H44</f>
        <v>0</v>
      </c>
      <c r="I34" s="13">
        <f>I35+I37+I40+I44</f>
        <v>3360.212</v>
      </c>
      <c r="J34" s="13">
        <f>J35+J37+J40+J44</f>
        <v>1560.135</v>
      </c>
      <c r="K34" s="13">
        <f>K35+K37+K40+K44</f>
        <v>910.57399999999996</v>
      </c>
      <c r="L34" s="61"/>
      <c r="M34" s="90">
        <f>январь!H35+февраль!H35+март!H35+апрель!H35+май!H34+июнь!H34</f>
        <v>135.84</v>
      </c>
      <c r="N34" s="90">
        <f>январь!I35+февраль!I35+март!I35+апрель!I35+май!I34+июнь!I34</f>
        <v>23049.878999999997</v>
      </c>
      <c r="O34" s="90">
        <f>январь!J35+февраль!J35+март!J35+апрель!J35+май!J34+июнь!J34</f>
        <v>8876.2459999999992</v>
      </c>
      <c r="P34" s="90">
        <f>январь!K35+февраль!K35+март!K35+апрель!K35+май!K34+июнь!K34</f>
        <v>5186.213999999999</v>
      </c>
      <c r="Q34" s="91">
        <f>SUM(M34:P34)</f>
        <v>37248.178999999996</v>
      </c>
      <c r="R34" s="89"/>
    </row>
    <row r="35" spans="3:18" s="60" customFormat="1" ht="22.5" x14ac:dyDescent="0.2">
      <c r="C35" s="9"/>
      <c r="D35" s="10" t="s">
        <v>49</v>
      </c>
      <c r="E35" s="14" t="s">
        <v>50</v>
      </c>
      <c r="F35" s="12" t="s">
        <v>51</v>
      </c>
      <c r="G35" s="13">
        <f t="shared" si="0"/>
        <v>0</v>
      </c>
      <c r="H35" s="15"/>
      <c r="I35" s="15"/>
      <c r="J35" s="15"/>
      <c r="K35" s="15"/>
      <c r="L35" s="61"/>
      <c r="M35" s="81"/>
      <c r="N35" s="89"/>
      <c r="O35" s="89"/>
      <c r="P35" s="67"/>
      <c r="Q35" s="89"/>
      <c r="R35" s="89"/>
    </row>
    <row r="36" spans="3:18" s="60" customFormat="1" ht="12.75" x14ac:dyDescent="0.2">
      <c r="C36" s="9"/>
      <c r="D36" s="10" t="s">
        <v>52</v>
      </c>
      <c r="E36" s="34" t="s">
        <v>53</v>
      </c>
      <c r="F36" s="12" t="s">
        <v>54</v>
      </c>
      <c r="G36" s="13">
        <f t="shared" si="0"/>
        <v>0</v>
      </c>
      <c r="H36" s="15"/>
      <c r="I36" s="15"/>
      <c r="J36" s="15"/>
      <c r="K36" s="15"/>
      <c r="L36" s="61"/>
      <c r="M36" s="81"/>
      <c r="N36" s="89"/>
      <c r="O36" s="89"/>
      <c r="P36" s="67"/>
      <c r="Q36" s="89"/>
      <c r="R36" s="89"/>
    </row>
    <row r="37" spans="3:18" s="60" customFormat="1" ht="12.75" x14ac:dyDescent="0.2">
      <c r="C37" s="9"/>
      <c r="D37" s="10" t="s">
        <v>55</v>
      </c>
      <c r="E37" s="14" t="s">
        <v>56</v>
      </c>
      <c r="F37" s="12" t="s">
        <v>57</v>
      </c>
      <c r="G37" s="13">
        <f t="shared" si="0"/>
        <v>3166.7019999999998</v>
      </c>
      <c r="H37" s="15">
        <v>0</v>
      </c>
      <c r="I37" s="15">
        <f>3360.212-I42</f>
        <v>695.99299999999994</v>
      </c>
      <c r="J37" s="15">
        <v>1560.135</v>
      </c>
      <c r="K37" s="15">
        <v>910.57399999999996</v>
      </c>
      <c r="L37" s="61"/>
      <c r="M37" s="81"/>
      <c r="N37" s="89"/>
      <c r="O37" s="89"/>
      <c r="P37" s="67"/>
      <c r="Q37" s="89"/>
      <c r="R37" s="89"/>
    </row>
    <row r="38" spans="3:18" s="60" customFormat="1" ht="12.75" x14ac:dyDescent="0.2">
      <c r="C38" s="9"/>
      <c r="D38" s="10" t="s">
        <v>58</v>
      </c>
      <c r="E38" s="34" t="s">
        <v>59</v>
      </c>
      <c r="F38" s="12" t="s">
        <v>60</v>
      </c>
      <c r="G38" s="13">
        <f t="shared" si="0"/>
        <v>0</v>
      </c>
      <c r="H38" s="15"/>
      <c r="I38" s="15"/>
      <c r="J38" s="15"/>
      <c r="K38" s="15"/>
      <c r="L38" s="61"/>
      <c r="M38" s="81"/>
      <c r="N38" s="89"/>
      <c r="O38" s="89"/>
      <c r="P38" s="67"/>
      <c r="Q38" s="89"/>
      <c r="R38" s="89"/>
    </row>
    <row r="39" spans="3:18" s="60" customFormat="1" ht="12.75" x14ac:dyDescent="0.2">
      <c r="C39" s="9"/>
      <c r="D39" s="10" t="s">
        <v>61</v>
      </c>
      <c r="E39" s="35" t="s">
        <v>53</v>
      </c>
      <c r="F39" s="12" t="s">
        <v>62</v>
      </c>
      <c r="G39" s="13">
        <f t="shared" si="0"/>
        <v>0</v>
      </c>
      <c r="H39" s="15"/>
      <c r="I39" s="15"/>
      <c r="J39" s="15"/>
      <c r="K39" s="15"/>
      <c r="L39" s="61"/>
      <c r="M39" s="81"/>
      <c r="N39" s="89"/>
      <c r="O39" s="89"/>
      <c r="P39" s="67"/>
      <c r="Q39" s="89"/>
      <c r="R39" s="89"/>
    </row>
    <row r="40" spans="3:18" s="60" customFormat="1" ht="12.75" x14ac:dyDescent="0.2">
      <c r="C40" s="9"/>
      <c r="D40" s="10" t="s">
        <v>63</v>
      </c>
      <c r="E40" s="14" t="s">
        <v>64</v>
      </c>
      <c r="F40" s="12" t="s">
        <v>65</v>
      </c>
      <c r="G40" s="13">
        <f t="shared" si="0"/>
        <v>2664.2190000000001</v>
      </c>
      <c r="H40" s="13">
        <f>SUM(H41:H43)</f>
        <v>0</v>
      </c>
      <c r="I40" s="13">
        <f>SUM(I41:I43)</f>
        <v>2664.2190000000001</v>
      </c>
      <c r="J40" s="13">
        <f>SUM(J41:J43)</f>
        <v>0</v>
      </c>
      <c r="K40" s="13">
        <f>SUM(K41:K43)</f>
        <v>0</v>
      </c>
      <c r="L40" s="61"/>
      <c r="M40" s="81"/>
      <c r="N40" s="89"/>
      <c r="O40" s="89"/>
      <c r="P40" s="67"/>
      <c r="Q40" s="89"/>
      <c r="R40" s="89"/>
    </row>
    <row r="41" spans="3:18" s="60" customFormat="1" ht="12.75" x14ac:dyDescent="0.2">
      <c r="C41" s="9"/>
      <c r="D41" s="16" t="s">
        <v>66</v>
      </c>
      <c r="E41" s="17"/>
      <c r="F41" s="18" t="s">
        <v>65</v>
      </c>
      <c r="G41" s="19"/>
      <c r="H41" s="19"/>
      <c r="I41" s="19"/>
      <c r="J41" s="19"/>
      <c r="K41" s="19"/>
      <c r="L41" s="61"/>
      <c r="M41" s="81"/>
      <c r="N41" s="89"/>
      <c r="O41" s="89"/>
      <c r="P41" s="67"/>
      <c r="Q41" s="89"/>
      <c r="R41" s="89"/>
    </row>
    <row r="42" spans="3:18" s="60" customFormat="1" ht="15" x14ac:dyDescent="0.25">
      <c r="C42" s="24" t="s">
        <v>29</v>
      </c>
      <c r="D42" s="25" t="s">
        <v>67</v>
      </c>
      <c r="E42" s="26" t="s">
        <v>68</v>
      </c>
      <c r="F42" s="27">
        <v>751</v>
      </c>
      <c r="G42" s="28">
        <f>SUM(H42:K42)</f>
        <v>2664.2190000000001</v>
      </c>
      <c r="H42" s="29"/>
      <c r="I42" s="29">
        <v>2664.2190000000001</v>
      </c>
      <c r="J42" s="29"/>
      <c r="K42" s="30"/>
      <c r="L42" s="61"/>
      <c r="M42" s="69" t="s">
        <v>330</v>
      </c>
      <c r="N42" s="70" t="s">
        <v>331</v>
      </c>
      <c r="O42" s="70" t="s">
        <v>332</v>
      </c>
      <c r="P42" s="89"/>
      <c r="Q42" s="89"/>
      <c r="R42" s="89"/>
    </row>
    <row r="43" spans="3:18" s="60" customFormat="1" ht="12.75" x14ac:dyDescent="0.2">
      <c r="C43" s="9"/>
      <c r="D43" s="36"/>
      <c r="E43" s="21" t="s">
        <v>20</v>
      </c>
      <c r="F43" s="22"/>
      <c r="G43" s="22"/>
      <c r="H43" s="22"/>
      <c r="I43" s="22"/>
      <c r="J43" s="22"/>
      <c r="K43" s="23"/>
      <c r="L43" s="61"/>
      <c r="M43" s="81"/>
      <c r="N43" s="89"/>
      <c r="O43" s="89"/>
      <c r="P43" s="67"/>
      <c r="Q43" s="89"/>
      <c r="R43" s="89"/>
    </row>
    <row r="44" spans="3:18" s="60" customFormat="1" ht="12.75" x14ac:dyDescent="0.2">
      <c r="C44" s="9"/>
      <c r="D44" s="10" t="s">
        <v>69</v>
      </c>
      <c r="E44" s="37" t="s">
        <v>70</v>
      </c>
      <c r="F44" s="12" t="s">
        <v>71</v>
      </c>
      <c r="G44" s="13">
        <f t="shared" si="0"/>
        <v>0</v>
      </c>
      <c r="H44" s="15"/>
      <c r="I44" s="15"/>
      <c r="J44" s="15"/>
      <c r="K44" s="15"/>
      <c r="L44" s="61"/>
      <c r="M44" s="81"/>
      <c r="N44" s="89"/>
      <c r="O44" s="89"/>
      <c r="P44" s="67">
        <v>120</v>
      </c>
      <c r="Q44" s="89"/>
      <c r="R44" s="89"/>
    </row>
    <row r="45" spans="3:18" s="60" customFormat="1" ht="12.75" x14ac:dyDescent="0.2">
      <c r="C45" s="9"/>
      <c r="D45" s="10" t="s">
        <v>72</v>
      </c>
      <c r="E45" s="11" t="s">
        <v>73</v>
      </c>
      <c r="F45" s="12" t="s">
        <v>74</v>
      </c>
      <c r="G45" s="13">
        <f t="shared" si="0"/>
        <v>2683.3920000000007</v>
      </c>
      <c r="H45" s="15">
        <f>H25-H48-H34</f>
        <v>818.68900000000008</v>
      </c>
      <c r="I45" s="15">
        <f>I15-I34-I48</f>
        <v>941.40900000000022</v>
      </c>
      <c r="J45" s="15">
        <f>J23+J28+J17-J34-J48</f>
        <v>923.29400000000021</v>
      </c>
      <c r="K45" s="15">
        <f>K31-K34-K48</f>
        <v>1.4033219031261979E-13</v>
      </c>
      <c r="L45" s="61"/>
      <c r="M45" s="81"/>
      <c r="N45" s="89"/>
      <c r="O45" s="89"/>
      <c r="P45" s="67">
        <v>150</v>
      </c>
      <c r="Q45" s="89"/>
      <c r="R45" s="89"/>
    </row>
    <row r="46" spans="3:18" s="60" customFormat="1" ht="12.75" x14ac:dyDescent="0.2">
      <c r="C46" s="9"/>
      <c r="D46" s="10" t="s">
        <v>75</v>
      </c>
      <c r="E46" s="11" t="s">
        <v>76</v>
      </c>
      <c r="F46" s="12" t="s">
        <v>77</v>
      </c>
      <c r="G46" s="13">
        <f t="shared" si="0"/>
        <v>0</v>
      </c>
      <c r="H46" s="15"/>
      <c r="I46" s="15"/>
      <c r="J46" s="15"/>
      <c r="K46" s="15"/>
      <c r="L46" s="61"/>
      <c r="M46" s="81"/>
      <c r="N46" s="89"/>
      <c r="O46" s="89"/>
      <c r="P46" s="67">
        <v>160</v>
      </c>
      <c r="Q46" s="89"/>
      <c r="R46" s="89"/>
    </row>
    <row r="47" spans="3:18" s="60" customFormat="1" ht="12.75" x14ac:dyDescent="0.2">
      <c r="C47" s="9"/>
      <c r="D47" s="10" t="s">
        <v>78</v>
      </c>
      <c r="E47" s="11" t="s">
        <v>79</v>
      </c>
      <c r="F47" s="12" t="s">
        <v>80</v>
      </c>
      <c r="G47" s="13">
        <f t="shared" si="0"/>
        <v>0</v>
      </c>
      <c r="H47" s="15"/>
      <c r="I47" s="15"/>
      <c r="J47" s="15"/>
      <c r="K47" s="15"/>
      <c r="L47" s="61"/>
      <c r="M47" s="81"/>
      <c r="N47" s="89"/>
      <c r="O47" s="89"/>
      <c r="P47" s="67">
        <v>180</v>
      </c>
      <c r="Q47" s="89"/>
      <c r="R47" s="89"/>
    </row>
    <row r="48" spans="3:18" s="60" customFormat="1" ht="12.75" x14ac:dyDescent="0.2">
      <c r="C48" s="9"/>
      <c r="D48" s="10" t="s">
        <v>81</v>
      </c>
      <c r="E48" s="11" t="s">
        <v>82</v>
      </c>
      <c r="F48" s="12" t="s">
        <v>83</v>
      </c>
      <c r="G48" s="13">
        <f t="shared" si="0"/>
        <v>169.673</v>
      </c>
      <c r="H48" s="15">
        <v>5.8999999999999997E-2</v>
      </c>
      <c r="I48" s="15">
        <v>73.045000000000002</v>
      </c>
      <c r="J48" s="15">
        <v>83.849000000000004</v>
      </c>
      <c r="K48" s="15">
        <v>12.72</v>
      </c>
      <c r="L48" s="61"/>
      <c r="M48" s="90">
        <f>январь!H49+февраль!H49+март!H49+апрель!H49+май!H48+июнь!H48</f>
        <v>0.216</v>
      </c>
      <c r="N48" s="90">
        <f>январь!I49+февраль!I49+март!I49+апрель!I49+май!I48+июнь!I48</f>
        <v>338.57800000000003</v>
      </c>
      <c r="O48" s="90">
        <f>январь!J49+февраль!J49+март!J49+апрель!J49+май!J48+июнь!J48</f>
        <v>367.46</v>
      </c>
      <c r="P48" s="90">
        <f>январь!K49+февраль!K49+март!K49+апрель!K49+май!K48+июнь!K48</f>
        <v>273.76600000000002</v>
      </c>
      <c r="Q48" s="91">
        <f>SUM(M48:P48)</f>
        <v>980.02</v>
      </c>
      <c r="R48" s="89"/>
    </row>
    <row r="49" spans="3:18" s="60" customFormat="1" ht="12.75" x14ac:dyDescent="0.2">
      <c r="C49" s="9"/>
      <c r="D49" s="10" t="s">
        <v>84</v>
      </c>
      <c r="E49" s="14" t="s">
        <v>85</v>
      </c>
      <c r="F49" s="12" t="s">
        <v>86</v>
      </c>
      <c r="G49" s="13">
        <f t="shared" si="0"/>
        <v>0</v>
      </c>
      <c r="H49" s="15"/>
      <c r="I49" s="15"/>
      <c r="J49" s="15"/>
      <c r="K49" s="15"/>
      <c r="L49" s="61"/>
      <c r="M49" s="81"/>
      <c r="N49" s="89"/>
      <c r="O49" s="89"/>
      <c r="P49" s="67">
        <v>200</v>
      </c>
      <c r="Q49" s="89"/>
      <c r="R49" s="89"/>
    </row>
    <row r="50" spans="3:18" s="60" customFormat="1" ht="22.5" x14ac:dyDescent="0.2">
      <c r="C50" s="9"/>
      <c r="D50" s="10" t="s">
        <v>87</v>
      </c>
      <c r="E50" s="11" t="s">
        <v>88</v>
      </c>
      <c r="F50" s="12" t="s">
        <v>89</v>
      </c>
      <c r="G50" s="13">
        <f t="shared" si="0"/>
        <v>153.43599999999998</v>
      </c>
      <c r="H50" s="15"/>
      <c r="I50" s="15">
        <f>153.436*0.2468</f>
        <v>37.868004800000001</v>
      </c>
      <c r="J50" s="15">
        <f>153.436*0.3291</f>
        <v>50.4957876</v>
      </c>
      <c r="K50" s="15">
        <f>153.436*0.4241</f>
        <v>65.072207599999999</v>
      </c>
      <c r="L50" s="61"/>
      <c r="M50" s="81"/>
      <c r="N50" s="89"/>
      <c r="O50" s="89"/>
      <c r="P50" s="68"/>
      <c r="Q50" s="89"/>
      <c r="R50" s="89"/>
    </row>
    <row r="51" spans="3:18" s="60" customFormat="1" ht="33.75" x14ac:dyDescent="0.2">
      <c r="C51" s="9"/>
      <c r="D51" s="10" t="s">
        <v>90</v>
      </c>
      <c r="E51" s="32" t="s">
        <v>91</v>
      </c>
      <c r="F51" s="12" t="s">
        <v>92</v>
      </c>
      <c r="G51" s="13">
        <f t="shared" si="0"/>
        <v>16.237000000000009</v>
      </c>
      <c r="H51" s="13">
        <f>H48-H50</f>
        <v>5.8999999999999997E-2</v>
      </c>
      <c r="I51" s="13">
        <f>I48-I50</f>
        <v>35.1769952</v>
      </c>
      <c r="J51" s="13">
        <f>J48-J50</f>
        <v>33.353212400000004</v>
      </c>
      <c r="K51" s="13">
        <f>K48-K50</f>
        <v>-52.3522076</v>
      </c>
      <c r="L51" s="61"/>
      <c r="M51" s="49"/>
      <c r="P51" s="68"/>
    </row>
    <row r="52" spans="3:18" s="60" customFormat="1" ht="12.75" x14ac:dyDescent="0.2">
      <c r="C52" s="9"/>
      <c r="D52" s="10" t="s">
        <v>93</v>
      </c>
      <c r="E52" s="11" t="s">
        <v>94</v>
      </c>
      <c r="F52" s="12" t="s">
        <v>95</v>
      </c>
      <c r="G52" s="13">
        <f t="shared" si="0"/>
        <v>0</v>
      </c>
      <c r="H52" s="13">
        <f>(H15+H28+H33)-(H34+H45+H46+H47+H48)</f>
        <v>0</v>
      </c>
      <c r="I52" s="13">
        <f>(I15+I28+I33)-(I34+I45+I46+I47+I48)</f>
        <v>0</v>
      </c>
      <c r="J52" s="13">
        <f>(J15+J28+J33)-(J34+J45+J46+J47+J48)</f>
        <v>0</v>
      </c>
      <c r="K52" s="13">
        <f>(K15+K28+K33)-(K34+K45+K46+K47+K48)</f>
        <v>0</v>
      </c>
      <c r="L52" s="61"/>
      <c r="M52" s="49"/>
      <c r="P52" s="67">
        <v>210</v>
      </c>
    </row>
    <row r="53" spans="3:18" s="60" customFormat="1" ht="12.75" x14ac:dyDescent="0.2">
      <c r="C53" s="9"/>
      <c r="D53" s="99" t="s">
        <v>96</v>
      </c>
      <c r="E53" s="100"/>
      <c r="F53" s="100"/>
      <c r="G53" s="100"/>
      <c r="H53" s="100"/>
      <c r="I53" s="100"/>
      <c r="J53" s="100"/>
      <c r="K53" s="101"/>
      <c r="L53" s="61"/>
      <c r="M53" s="49"/>
      <c r="P53" s="68"/>
    </row>
    <row r="54" spans="3:18" s="60" customFormat="1" ht="12.75" x14ac:dyDescent="0.2">
      <c r="C54" s="9"/>
      <c r="D54" s="10" t="s">
        <v>97</v>
      </c>
      <c r="E54" s="11" t="s">
        <v>13</v>
      </c>
      <c r="F54" s="12" t="s">
        <v>98</v>
      </c>
      <c r="G54" s="13">
        <f t="shared" si="0"/>
        <v>8.3341583333333329</v>
      </c>
      <c r="H54" s="13">
        <f>H55+H56+H59+H62</f>
        <v>1.1371500000000001</v>
      </c>
      <c r="I54" s="13">
        <f>I55+I56+I59+I62</f>
        <v>6.0759249999999998</v>
      </c>
      <c r="J54" s="13">
        <f>J55+J56+J59+J62</f>
        <v>1.1210833333333332</v>
      </c>
      <c r="K54" s="13">
        <f>K55+K56+K59+K62</f>
        <v>0</v>
      </c>
      <c r="L54" s="61"/>
      <c r="M54" s="49"/>
      <c r="P54" s="67">
        <v>300</v>
      </c>
    </row>
    <row r="55" spans="3:18" s="60" customFormat="1" ht="12.75" x14ac:dyDescent="0.2">
      <c r="C55" s="9"/>
      <c r="D55" s="10" t="s">
        <v>99</v>
      </c>
      <c r="E55" s="14" t="s">
        <v>15</v>
      </c>
      <c r="F55" s="12" t="s">
        <v>100</v>
      </c>
      <c r="G55" s="13">
        <f t="shared" si="0"/>
        <v>0</v>
      </c>
      <c r="H55" s="15"/>
      <c r="I55" s="15"/>
      <c r="J55" s="15"/>
      <c r="K55" s="15"/>
      <c r="L55" s="61"/>
      <c r="M55" s="49"/>
      <c r="P55" s="67">
        <v>310</v>
      </c>
    </row>
    <row r="56" spans="3:18" s="60" customFormat="1" ht="12.75" x14ac:dyDescent="0.2">
      <c r="C56" s="9"/>
      <c r="D56" s="10" t="s">
        <v>101</v>
      </c>
      <c r="E56" s="14" t="s">
        <v>17</v>
      </c>
      <c r="F56" s="12" t="s">
        <v>102</v>
      </c>
      <c r="G56" s="13">
        <f t="shared" si="0"/>
        <v>0</v>
      </c>
      <c r="H56" s="13">
        <f>SUM(H57:H58)</f>
        <v>0</v>
      </c>
      <c r="I56" s="13">
        <f>SUM(I57:I58)</f>
        <v>0</v>
      </c>
      <c r="J56" s="13">
        <f>SUM(J57:J58)</f>
        <v>0</v>
      </c>
      <c r="K56" s="13">
        <f>SUM(K57:K58)</f>
        <v>0</v>
      </c>
      <c r="L56" s="61"/>
      <c r="M56" s="49"/>
      <c r="P56" s="67">
        <v>320</v>
      </c>
    </row>
    <row r="57" spans="3:18" s="60" customFormat="1" ht="12.75" x14ac:dyDescent="0.2">
      <c r="C57" s="9"/>
      <c r="D57" s="16" t="s">
        <v>103</v>
      </c>
      <c r="E57" s="17"/>
      <c r="F57" s="18" t="s">
        <v>102</v>
      </c>
      <c r="G57" s="19"/>
      <c r="H57" s="19"/>
      <c r="I57" s="19"/>
      <c r="J57" s="19"/>
      <c r="K57" s="19"/>
      <c r="L57" s="61"/>
      <c r="M57" s="49"/>
      <c r="P57" s="67"/>
    </row>
    <row r="58" spans="3:18" s="60" customFormat="1" ht="12.75" x14ac:dyDescent="0.2">
      <c r="C58" s="9"/>
      <c r="D58" s="20"/>
      <c r="E58" s="21" t="s">
        <v>20</v>
      </c>
      <c r="F58" s="22"/>
      <c r="G58" s="22"/>
      <c r="H58" s="22"/>
      <c r="I58" s="22"/>
      <c r="J58" s="22"/>
      <c r="K58" s="23"/>
      <c r="L58" s="61"/>
      <c r="M58" s="49"/>
      <c r="P58" s="67"/>
    </row>
    <row r="59" spans="3:18" s="60" customFormat="1" ht="12.75" x14ac:dyDescent="0.2">
      <c r="C59" s="9"/>
      <c r="D59" s="10" t="s">
        <v>104</v>
      </c>
      <c r="E59" s="14" t="s">
        <v>22</v>
      </c>
      <c r="F59" s="12" t="s">
        <v>105</v>
      </c>
      <c r="G59" s="13">
        <f t="shared" si="0"/>
        <v>0</v>
      </c>
      <c r="H59" s="13">
        <f>SUM(H60:H61)</f>
        <v>0</v>
      </c>
      <c r="I59" s="13">
        <f>SUM(I60:I61)</f>
        <v>0</v>
      </c>
      <c r="J59" s="13">
        <f>SUM(J60:J61)</f>
        <v>0</v>
      </c>
      <c r="K59" s="13">
        <f>SUM(K60:K61)</f>
        <v>0</v>
      </c>
      <c r="L59" s="61"/>
      <c r="M59" s="49"/>
      <c r="P59" s="67"/>
    </row>
    <row r="60" spans="3:18" s="60" customFormat="1" ht="12.75" x14ac:dyDescent="0.2">
      <c r="C60" s="9"/>
      <c r="D60" s="16" t="s">
        <v>106</v>
      </c>
      <c r="E60" s="17"/>
      <c r="F60" s="18" t="s">
        <v>105</v>
      </c>
      <c r="G60" s="19"/>
      <c r="H60" s="19"/>
      <c r="I60" s="19"/>
      <c r="J60" s="19"/>
      <c r="K60" s="19"/>
      <c r="L60" s="61"/>
      <c r="M60" s="49"/>
      <c r="P60" s="67"/>
    </row>
    <row r="61" spans="3:18" s="60" customFormat="1" ht="12.75" x14ac:dyDescent="0.2">
      <c r="C61" s="9"/>
      <c r="D61" s="20"/>
      <c r="E61" s="21" t="s">
        <v>20</v>
      </c>
      <c r="F61" s="22"/>
      <c r="G61" s="22"/>
      <c r="H61" s="22"/>
      <c r="I61" s="22"/>
      <c r="J61" s="22"/>
      <c r="K61" s="23"/>
      <c r="L61" s="61"/>
      <c r="M61" s="49"/>
      <c r="P61" s="67"/>
    </row>
    <row r="62" spans="3:18" s="60" customFormat="1" ht="12.75" x14ac:dyDescent="0.2">
      <c r="C62" s="9"/>
      <c r="D62" s="10" t="s">
        <v>107</v>
      </c>
      <c r="E62" s="14" t="s">
        <v>26</v>
      </c>
      <c r="F62" s="12" t="s">
        <v>108</v>
      </c>
      <c r="G62" s="13">
        <f t="shared" si="0"/>
        <v>8.3341583333333329</v>
      </c>
      <c r="H62" s="13">
        <f>SUM(H63:H66)</f>
        <v>1.1371500000000001</v>
      </c>
      <c r="I62" s="13">
        <f>SUM(I63:I66)</f>
        <v>6.0759249999999998</v>
      </c>
      <c r="J62" s="13">
        <f>SUM(J63:J66)</f>
        <v>1.1210833333333332</v>
      </c>
      <c r="K62" s="13">
        <f>SUM(K63:K66)</f>
        <v>0</v>
      </c>
      <c r="L62" s="61"/>
      <c r="M62" s="49"/>
      <c r="P62" s="67">
        <v>330</v>
      </c>
    </row>
    <row r="63" spans="3:18" s="60" customFormat="1" ht="12.75" x14ac:dyDescent="0.2">
      <c r="C63" s="9"/>
      <c r="D63" s="16" t="s">
        <v>109</v>
      </c>
      <c r="E63" s="17"/>
      <c r="F63" s="18" t="s">
        <v>108</v>
      </c>
      <c r="G63" s="19"/>
      <c r="H63" s="19"/>
      <c r="I63" s="19"/>
      <c r="J63" s="19"/>
      <c r="K63" s="19"/>
      <c r="L63" s="61"/>
      <c r="M63" s="49"/>
      <c r="P63" s="67"/>
    </row>
    <row r="64" spans="3:18" s="60" customFormat="1" ht="15" x14ac:dyDescent="0.25">
      <c r="C64" s="24" t="s">
        <v>29</v>
      </c>
      <c r="D64" s="25" t="s">
        <v>110</v>
      </c>
      <c r="E64" s="26" t="s">
        <v>344</v>
      </c>
      <c r="F64" s="27">
        <v>1461</v>
      </c>
      <c r="G64" s="28">
        <f>SUM(H64:K64)</f>
        <v>7.8390472222222218</v>
      </c>
      <c r="H64" s="29">
        <f>H25/720</f>
        <v>1.1371500000000001</v>
      </c>
      <c r="I64" s="29">
        <f>I25/720</f>
        <v>6.0759249999999998</v>
      </c>
      <c r="J64" s="29">
        <f>J25/720</f>
        <v>0.62597222222222215</v>
      </c>
      <c r="K64" s="29"/>
      <c r="L64" s="61"/>
      <c r="M64" s="69" t="s">
        <v>327</v>
      </c>
      <c r="N64" s="70" t="s">
        <v>328</v>
      </c>
      <c r="O64" s="70" t="s">
        <v>329</v>
      </c>
    </row>
    <row r="65" spans="3:16" s="60" customFormat="1" ht="15" x14ac:dyDescent="0.25">
      <c r="C65" s="24" t="s">
        <v>29</v>
      </c>
      <c r="D65" s="25" t="s">
        <v>343</v>
      </c>
      <c r="E65" s="26" t="s">
        <v>68</v>
      </c>
      <c r="F65" s="27">
        <v>1462</v>
      </c>
      <c r="G65" s="28">
        <f>SUM(H65:K65)</f>
        <v>0.49511111111111111</v>
      </c>
      <c r="H65" s="29"/>
      <c r="I65" s="29"/>
      <c r="J65" s="29">
        <f>J26/720</f>
        <v>0.49511111111111111</v>
      </c>
      <c r="K65" s="30"/>
      <c r="L65" s="61"/>
      <c r="M65" s="69" t="s">
        <v>330</v>
      </c>
      <c r="N65" s="70" t="s">
        <v>328</v>
      </c>
      <c r="O65" s="70" t="s">
        <v>332</v>
      </c>
    </row>
    <row r="66" spans="3:16" s="60" customFormat="1" ht="12.75" x14ac:dyDescent="0.2">
      <c r="C66" s="9"/>
      <c r="D66" s="20"/>
      <c r="E66" s="21" t="s">
        <v>20</v>
      </c>
      <c r="F66" s="22"/>
      <c r="G66" s="22"/>
      <c r="H66" s="22"/>
      <c r="I66" s="22"/>
      <c r="J66" s="22"/>
      <c r="K66" s="23"/>
      <c r="L66" s="61"/>
      <c r="M66" s="49"/>
      <c r="P66" s="67"/>
    </row>
    <row r="67" spans="3:16" s="60" customFormat="1" ht="12.75" x14ac:dyDescent="0.2">
      <c r="C67" s="9"/>
      <c r="D67" s="10" t="s">
        <v>111</v>
      </c>
      <c r="E67" s="11" t="s">
        <v>32</v>
      </c>
      <c r="F67" s="12" t="s">
        <v>112</v>
      </c>
      <c r="G67" s="13">
        <f t="shared" si="0"/>
        <v>3.7269333333333341</v>
      </c>
      <c r="H67" s="13">
        <f>H69+H70+H71</f>
        <v>0</v>
      </c>
      <c r="I67" s="13">
        <f>I68+I70+I71</f>
        <v>0</v>
      </c>
      <c r="J67" s="13">
        <f>J68+J69+J71</f>
        <v>2.444580555555556</v>
      </c>
      <c r="K67" s="13">
        <f>K68+K69+K70</f>
        <v>1.2823527777777779</v>
      </c>
      <c r="L67" s="61"/>
      <c r="M67" s="49"/>
      <c r="P67" s="67">
        <v>340</v>
      </c>
    </row>
    <row r="68" spans="3:16" s="60" customFormat="1" ht="12.75" x14ac:dyDescent="0.2">
      <c r="C68" s="9"/>
      <c r="D68" s="10" t="s">
        <v>113</v>
      </c>
      <c r="E68" s="14" t="s">
        <v>7</v>
      </c>
      <c r="F68" s="12" t="s">
        <v>114</v>
      </c>
      <c r="G68" s="13">
        <f t="shared" si="0"/>
        <v>1.1370680555555557</v>
      </c>
      <c r="H68" s="31"/>
      <c r="I68" s="15"/>
      <c r="J68" s="15">
        <f>J29/720</f>
        <v>1.1370680555555557</v>
      </c>
      <c r="K68" s="15"/>
      <c r="L68" s="61"/>
      <c r="M68" s="49"/>
      <c r="P68" s="67">
        <v>350</v>
      </c>
    </row>
    <row r="69" spans="3:16" s="60" customFormat="1" ht="12.75" x14ac:dyDescent="0.2">
      <c r="C69" s="9"/>
      <c r="D69" s="10" t="s">
        <v>115</v>
      </c>
      <c r="E69" s="14" t="s">
        <v>8</v>
      </c>
      <c r="F69" s="12" t="s">
        <v>116</v>
      </c>
      <c r="G69" s="13">
        <f t="shared" si="0"/>
        <v>1.3075125000000003</v>
      </c>
      <c r="H69" s="15"/>
      <c r="I69" s="38"/>
      <c r="J69" s="15">
        <f>J30/720</f>
        <v>1.3075125000000003</v>
      </c>
      <c r="K69" s="15"/>
      <c r="L69" s="61"/>
      <c r="M69" s="49"/>
      <c r="P69" s="67">
        <v>360</v>
      </c>
    </row>
    <row r="70" spans="3:16" s="60" customFormat="1" ht="12.75" x14ac:dyDescent="0.2">
      <c r="C70" s="9"/>
      <c r="D70" s="10" t="s">
        <v>117</v>
      </c>
      <c r="E70" s="14" t="s">
        <v>9</v>
      </c>
      <c r="F70" s="12" t="s">
        <v>118</v>
      </c>
      <c r="G70" s="13">
        <f t="shared" si="0"/>
        <v>1.2823527777777779</v>
      </c>
      <c r="H70" s="15"/>
      <c r="I70" s="15"/>
      <c r="J70" s="31"/>
      <c r="K70" s="15">
        <f>K31/720</f>
        <v>1.2823527777777779</v>
      </c>
      <c r="L70" s="61"/>
      <c r="M70" s="49"/>
      <c r="P70" s="67">
        <v>370</v>
      </c>
    </row>
    <row r="71" spans="3:16" s="60" customFormat="1" ht="12.75" x14ac:dyDescent="0.2">
      <c r="C71" s="9"/>
      <c r="D71" s="10" t="s">
        <v>119</v>
      </c>
      <c r="E71" s="14" t="s">
        <v>41</v>
      </c>
      <c r="F71" s="12" t="s">
        <v>120</v>
      </c>
      <c r="G71" s="13">
        <f t="shared" si="0"/>
        <v>0</v>
      </c>
      <c r="H71" s="15"/>
      <c r="I71" s="15"/>
      <c r="J71" s="15"/>
      <c r="K71" s="31"/>
      <c r="L71" s="61"/>
      <c r="M71" s="49"/>
      <c r="P71" s="67">
        <v>380</v>
      </c>
    </row>
    <row r="72" spans="3:16" s="60" customFormat="1" ht="12.75" x14ac:dyDescent="0.2">
      <c r="C72" s="9"/>
      <c r="D72" s="10" t="s">
        <v>121</v>
      </c>
      <c r="E72" s="32" t="s">
        <v>44</v>
      </c>
      <c r="F72" s="12" t="s">
        <v>122</v>
      </c>
      <c r="G72" s="13">
        <f t="shared" si="0"/>
        <v>0</v>
      </c>
      <c r="H72" s="15"/>
      <c r="I72" s="15"/>
      <c r="J72" s="15"/>
      <c r="K72" s="15"/>
      <c r="L72" s="61"/>
      <c r="M72" s="49"/>
      <c r="P72" s="67"/>
    </row>
    <row r="73" spans="3:16" s="60" customFormat="1" ht="12.75" x14ac:dyDescent="0.2">
      <c r="C73" s="9"/>
      <c r="D73" s="10" t="s">
        <v>123</v>
      </c>
      <c r="E73" s="11" t="s">
        <v>47</v>
      </c>
      <c r="F73" s="33" t="s">
        <v>124</v>
      </c>
      <c r="G73" s="13">
        <f t="shared" si="0"/>
        <v>8.0985013888888879</v>
      </c>
      <c r="H73" s="13">
        <f>H74+H76+H79+H83</f>
        <v>0</v>
      </c>
      <c r="I73" s="13">
        <f>I74+I76+I79+I83</f>
        <v>4.6669611111111111</v>
      </c>
      <c r="J73" s="13">
        <f>J74+J76+J79+J83</f>
        <v>2.1668541666666665</v>
      </c>
      <c r="K73" s="13">
        <f>K74+K76+K79+K83</f>
        <v>1.264686111111111</v>
      </c>
      <c r="L73" s="61"/>
      <c r="M73" s="49"/>
      <c r="P73" s="67">
        <v>390</v>
      </c>
    </row>
    <row r="74" spans="3:16" s="60" customFormat="1" ht="22.5" x14ac:dyDescent="0.2">
      <c r="C74" s="9"/>
      <c r="D74" s="10" t="s">
        <v>125</v>
      </c>
      <c r="E74" s="14" t="s">
        <v>50</v>
      </c>
      <c r="F74" s="12" t="s">
        <v>126</v>
      </c>
      <c r="G74" s="13">
        <f t="shared" si="0"/>
        <v>0</v>
      </c>
      <c r="H74" s="15"/>
      <c r="I74" s="15"/>
      <c r="J74" s="15"/>
      <c r="K74" s="15"/>
      <c r="L74" s="61"/>
      <c r="M74" s="49"/>
      <c r="P74" s="67"/>
    </row>
    <row r="75" spans="3:16" s="60" customFormat="1" ht="12.75" x14ac:dyDescent="0.2">
      <c r="C75" s="9"/>
      <c r="D75" s="10" t="s">
        <v>127</v>
      </c>
      <c r="E75" s="34" t="s">
        <v>53</v>
      </c>
      <c r="F75" s="12" t="s">
        <v>128</v>
      </c>
      <c r="G75" s="13">
        <f t="shared" si="0"/>
        <v>0</v>
      </c>
      <c r="H75" s="15"/>
      <c r="I75" s="15"/>
      <c r="J75" s="15"/>
      <c r="K75" s="15"/>
      <c r="L75" s="61"/>
      <c r="M75" s="49"/>
      <c r="P75" s="67"/>
    </row>
    <row r="76" spans="3:16" s="60" customFormat="1" ht="12.75" x14ac:dyDescent="0.2">
      <c r="C76" s="9"/>
      <c r="D76" s="10" t="s">
        <v>129</v>
      </c>
      <c r="E76" s="14" t="s">
        <v>56</v>
      </c>
      <c r="F76" s="12" t="s">
        <v>130</v>
      </c>
      <c r="G76" s="13">
        <f t="shared" si="0"/>
        <v>4.3981972222222216</v>
      </c>
      <c r="H76" s="15">
        <f>H37/720</f>
        <v>0</v>
      </c>
      <c r="I76" s="15">
        <f>I37/720</f>
        <v>0.96665694444444439</v>
      </c>
      <c r="J76" s="15">
        <f>J37/720</f>
        <v>2.1668541666666665</v>
      </c>
      <c r="K76" s="15">
        <f>K37/720</f>
        <v>1.264686111111111</v>
      </c>
      <c r="L76" s="61"/>
      <c r="M76" s="49"/>
      <c r="P76" s="67"/>
    </row>
    <row r="77" spans="3:16" s="60" customFormat="1" ht="12.75" x14ac:dyDescent="0.2">
      <c r="C77" s="9"/>
      <c r="D77" s="10" t="s">
        <v>131</v>
      </c>
      <c r="E77" s="34" t="s">
        <v>59</v>
      </c>
      <c r="F77" s="12" t="s">
        <v>132</v>
      </c>
      <c r="G77" s="13">
        <f t="shared" si="0"/>
        <v>0</v>
      </c>
      <c r="H77" s="15"/>
      <c r="I77" s="15"/>
      <c r="J77" s="15"/>
      <c r="K77" s="15"/>
      <c r="L77" s="61"/>
      <c r="M77" s="49"/>
      <c r="P77" s="67"/>
    </row>
    <row r="78" spans="3:16" s="60" customFormat="1" ht="12.75" x14ac:dyDescent="0.2">
      <c r="C78" s="9"/>
      <c r="D78" s="10" t="s">
        <v>133</v>
      </c>
      <c r="E78" s="35" t="s">
        <v>53</v>
      </c>
      <c r="F78" s="12" t="s">
        <v>134</v>
      </c>
      <c r="G78" s="13">
        <f t="shared" si="0"/>
        <v>0</v>
      </c>
      <c r="H78" s="15"/>
      <c r="I78" s="15"/>
      <c r="J78" s="15"/>
      <c r="K78" s="15"/>
      <c r="L78" s="61"/>
      <c r="M78" s="49"/>
      <c r="P78" s="67"/>
    </row>
    <row r="79" spans="3:16" s="60" customFormat="1" ht="12.75" x14ac:dyDescent="0.2">
      <c r="C79" s="9"/>
      <c r="D79" s="10" t="s">
        <v>135</v>
      </c>
      <c r="E79" s="14" t="s">
        <v>64</v>
      </c>
      <c r="F79" s="12" t="s">
        <v>136</v>
      </c>
      <c r="G79" s="13">
        <f t="shared" si="0"/>
        <v>3.7003041666666667</v>
      </c>
      <c r="H79" s="13">
        <f>SUM(H80:H82)</f>
        <v>0</v>
      </c>
      <c r="I79" s="13">
        <f>SUM(I80:I82)</f>
        <v>3.7003041666666667</v>
      </c>
      <c r="J79" s="13">
        <f>SUM(J80:J82)</f>
        <v>0</v>
      </c>
      <c r="K79" s="13">
        <f>SUM(K80:K82)</f>
        <v>0</v>
      </c>
      <c r="L79" s="61"/>
      <c r="M79" s="49"/>
      <c r="P79" s="67"/>
    </row>
    <row r="80" spans="3:16" s="60" customFormat="1" ht="12.75" x14ac:dyDescent="0.2">
      <c r="C80" s="9"/>
      <c r="D80" s="16" t="s">
        <v>137</v>
      </c>
      <c r="E80" s="17"/>
      <c r="F80" s="18" t="s">
        <v>136</v>
      </c>
      <c r="G80" s="19"/>
      <c r="H80" s="19"/>
      <c r="I80" s="19"/>
      <c r="J80" s="19"/>
      <c r="K80" s="19"/>
      <c r="L80" s="61"/>
      <c r="M80" s="49"/>
      <c r="P80" s="67"/>
    </row>
    <row r="81" spans="3:16" s="60" customFormat="1" ht="15" x14ac:dyDescent="0.25">
      <c r="C81" s="24" t="s">
        <v>29</v>
      </c>
      <c r="D81" s="25" t="s">
        <v>138</v>
      </c>
      <c r="E81" s="26" t="s">
        <v>68</v>
      </c>
      <c r="F81" s="27">
        <v>1781</v>
      </c>
      <c r="G81" s="28">
        <f>SUM(H81:K81)</f>
        <v>3.7003041666666667</v>
      </c>
      <c r="H81" s="29"/>
      <c r="I81" s="29">
        <f>I42/720</f>
        <v>3.7003041666666667</v>
      </c>
      <c r="J81" s="29"/>
      <c r="K81" s="30"/>
      <c r="L81" s="61"/>
      <c r="M81" s="69" t="s">
        <v>330</v>
      </c>
      <c r="N81" s="70" t="s">
        <v>331</v>
      </c>
      <c r="O81" s="70" t="s">
        <v>332</v>
      </c>
    </row>
    <row r="82" spans="3:16" s="60" customFormat="1" ht="12.75" x14ac:dyDescent="0.2">
      <c r="C82" s="9"/>
      <c r="D82" s="20"/>
      <c r="E82" s="21" t="s">
        <v>20</v>
      </c>
      <c r="F82" s="22"/>
      <c r="G82" s="22"/>
      <c r="H82" s="22"/>
      <c r="I82" s="22"/>
      <c r="J82" s="22"/>
      <c r="K82" s="23"/>
      <c r="L82" s="61"/>
      <c r="M82" s="49"/>
      <c r="P82" s="67"/>
    </row>
    <row r="83" spans="3:16" s="60" customFormat="1" ht="12.75" x14ac:dyDescent="0.2">
      <c r="C83" s="9"/>
      <c r="D83" s="10" t="s">
        <v>139</v>
      </c>
      <c r="E83" s="37" t="s">
        <v>70</v>
      </c>
      <c r="F83" s="12" t="s">
        <v>140</v>
      </c>
      <c r="G83" s="13">
        <f t="shared" si="0"/>
        <v>0</v>
      </c>
      <c r="H83" s="15"/>
      <c r="I83" s="15"/>
      <c r="J83" s="15"/>
      <c r="K83" s="15"/>
      <c r="L83" s="61"/>
      <c r="M83" s="49"/>
      <c r="P83" s="67">
        <v>410</v>
      </c>
    </row>
    <row r="84" spans="3:16" s="60" customFormat="1" ht="12.75" x14ac:dyDescent="0.2">
      <c r="C84" s="9"/>
      <c r="D84" s="10" t="s">
        <v>141</v>
      </c>
      <c r="E84" s="11" t="s">
        <v>73</v>
      </c>
      <c r="F84" s="12" t="s">
        <v>142</v>
      </c>
      <c r="G84" s="13">
        <f t="shared" si="0"/>
        <v>3.7269333333333341</v>
      </c>
      <c r="H84" s="15">
        <f>H45/720</f>
        <v>1.1370680555555557</v>
      </c>
      <c r="I84" s="15">
        <f>I45/720</f>
        <v>1.3075125000000003</v>
      </c>
      <c r="J84" s="15">
        <f>J45/720</f>
        <v>1.2823527777777781</v>
      </c>
      <c r="K84" s="15">
        <f>K45/720</f>
        <v>1.9490581987863859E-16</v>
      </c>
      <c r="L84" s="61"/>
      <c r="M84" s="49"/>
      <c r="P84" s="67">
        <v>440</v>
      </c>
    </row>
    <row r="85" spans="3:16" s="60" customFormat="1" ht="12.75" x14ac:dyDescent="0.2">
      <c r="C85" s="9"/>
      <c r="D85" s="10" t="s">
        <v>143</v>
      </c>
      <c r="E85" s="11" t="s">
        <v>76</v>
      </c>
      <c r="F85" s="12" t="s">
        <v>144</v>
      </c>
      <c r="G85" s="13">
        <f t="shared" si="0"/>
        <v>0</v>
      </c>
      <c r="H85" s="15"/>
      <c r="I85" s="15"/>
      <c r="J85" s="15"/>
      <c r="K85" s="15"/>
      <c r="L85" s="61"/>
      <c r="M85" s="49"/>
      <c r="P85" s="67">
        <v>450</v>
      </c>
    </row>
    <row r="86" spans="3:16" s="60" customFormat="1" ht="12.75" x14ac:dyDescent="0.2">
      <c r="C86" s="9"/>
      <c r="D86" s="10" t="s">
        <v>145</v>
      </c>
      <c r="E86" s="11" t="s">
        <v>79</v>
      </c>
      <c r="F86" s="12" t="s">
        <v>146</v>
      </c>
      <c r="G86" s="13">
        <f t="shared" si="0"/>
        <v>0</v>
      </c>
      <c r="H86" s="15"/>
      <c r="I86" s="15"/>
      <c r="J86" s="15"/>
      <c r="K86" s="15"/>
      <c r="L86" s="61"/>
      <c r="M86" s="49"/>
      <c r="P86" s="67">
        <v>470</v>
      </c>
    </row>
    <row r="87" spans="3:16" s="60" customFormat="1" ht="12.75" x14ac:dyDescent="0.2">
      <c r="C87" s="9"/>
      <c r="D87" s="10" t="s">
        <v>147</v>
      </c>
      <c r="E87" s="11" t="s">
        <v>82</v>
      </c>
      <c r="F87" s="12" t="s">
        <v>148</v>
      </c>
      <c r="G87" s="13">
        <f t="shared" si="0"/>
        <v>0.23565694444444446</v>
      </c>
      <c r="H87" s="15">
        <f>H48/720</f>
        <v>8.1944444444444437E-5</v>
      </c>
      <c r="I87" s="15">
        <f>I48/720</f>
        <v>0.1014513888888889</v>
      </c>
      <c r="J87" s="15">
        <f>J48/720</f>
        <v>0.11645694444444445</v>
      </c>
      <c r="K87" s="15">
        <f>K48/720</f>
        <v>1.7666666666666667E-2</v>
      </c>
      <c r="L87" s="61"/>
      <c r="M87" s="49"/>
      <c r="P87" s="67">
        <v>480</v>
      </c>
    </row>
    <row r="88" spans="3:16" s="60" customFormat="1" ht="12.75" x14ac:dyDescent="0.2">
      <c r="C88" s="9"/>
      <c r="D88" s="10" t="s">
        <v>149</v>
      </c>
      <c r="E88" s="14" t="s">
        <v>150</v>
      </c>
      <c r="F88" s="12" t="s">
        <v>151</v>
      </c>
      <c r="G88" s="13">
        <f t="shared" si="0"/>
        <v>0</v>
      </c>
      <c r="H88" s="15"/>
      <c r="I88" s="15"/>
      <c r="J88" s="15"/>
      <c r="K88" s="15"/>
      <c r="L88" s="61"/>
      <c r="M88" s="49"/>
      <c r="P88" s="67">
        <v>490</v>
      </c>
    </row>
    <row r="89" spans="3:16" s="60" customFormat="1" ht="22.5" x14ac:dyDescent="0.2">
      <c r="C89" s="9"/>
      <c r="D89" s="10" t="s">
        <v>152</v>
      </c>
      <c r="E89" s="11" t="s">
        <v>88</v>
      </c>
      <c r="F89" s="12" t="s">
        <v>153</v>
      </c>
      <c r="G89" s="13">
        <f t="shared" si="0"/>
        <v>0.21310555555555555</v>
      </c>
      <c r="H89" s="15"/>
      <c r="I89" s="15">
        <f>I50/720</f>
        <v>5.2594451111111114E-2</v>
      </c>
      <c r="J89" s="15">
        <f>J50/720</f>
        <v>7.0133038333333328E-2</v>
      </c>
      <c r="K89" s="15">
        <f>K50/720</f>
        <v>9.0378066111111113E-2</v>
      </c>
      <c r="L89" s="61"/>
      <c r="M89" s="49"/>
      <c r="P89" s="67"/>
    </row>
    <row r="90" spans="3:16" s="60" customFormat="1" ht="33.75" x14ac:dyDescent="0.2">
      <c r="C90" s="9"/>
      <c r="D90" s="10" t="s">
        <v>154</v>
      </c>
      <c r="E90" s="32" t="s">
        <v>91</v>
      </c>
      <c r="F90" s="12" t="s">
        <v>155</v>
      </c>
      <c r="G90" s="13">
        <f t="shared" si="0"/>
        <v>2.2551388888888899E-2</v>
      </c>
      <c r="H90" s="13">
        <f>H87-H89</f>
        <v>8.1944444444444437E-5</v>
      </c>
      <c r="I90" s="13">
        <f>I87-I89</f>
        <v>4.8856937777777783E-2</v>
      </c>
      <c r="J90" s="13">
        <f>J87-J89</f>
        <v>4.6323906111111118E-2</v>
      </c>
      <c r="K90" s="13">
        <f>K87-K89</f>
        <v>-7.2711399444444449E-2</v>
      </c>
      <c r="L90" s="61"/>
      <c r="M90" s="49"/>
      <c r="P90" s="67"/>
    </row>
    <row r="91" spans="3:16" s="60" customFormat="1" ht="12.75" x14ac:dyDescent="0.2">
      <c r="C91" s="9"/>
      <c r="D91" s="10" t="s">
        <v>156</v>
      </c>
      <c r="E91" s="11" t="s">
        <v>94</v>
      </c>
      <c r="F91" s="12" t="s">
        <v>157</v>
      </c>
      <c r="G91" s="13">
        <f t="shared" si="0"/>
        <v>0</v>
      </c>
      <c r="H91" s="13">
        <f>(H54+H67+H72)-(H73+H84+H85+H86+H87)</f>
        <v>0</v>
      </c>
      <c r="I91" s="13">
        <f>(I54+I67+I72)-(I73+I84+I85+I86+I87)</f>
        <v>0</v>
      </c>
      <c r="J91" s="13">
        <f>(J54+J67+J72)-(J73+J84+J85+J86+J87)</f>
        <v>0</v>
      </c>
      <c r="K91" s="13">
        <f>(K54+K67+K72)-(K73+K84+K85+K86+K87)</f>
        <v>0</v>
      </c>
      <c r="L91" s="61"/>
      <c r="M91" s="49"/>
      <c r="P91" s="67">
        <v>500</v>
      </c>
    </row>
    <row r="92" spans="3:16" s="60" customFormat="1" ht="12.75" x14ac:dyDescent="0.2">
      <c r="C92" s="9"/>
      <c r="D92" s="99" t="s">
        <v>158</v>
      </c>
      <c r="E92" s="100"/>
      <c r="F92" s="100"/>
      <c r="G92" s="100"/>
      <c r="H92" s="100"/>
      <c r="I92" s="100"/>
      <c r="J92" s="100"/>
      <c r="K92" s="101"/>
      <c r="L92" s="61"/>
      <c r="M92" s="49"/>
      <c r="P92" s="68"/>
    </row>
    <row r="93" spans="3:16" s="60" customFormat="1" ht="12.75" x14ac:dyDescent="0.2">
      <c r="C93" s="9"/>
      <c r="D93" s="10" t="s">
        <v>159</v>
      </c>
      <c r="E93" s="11" t="s">
        <v>160</v>
      </c>
      <c r="F93" s="12" t="s">
        <v>161</v>
      </c>
      <c r="G93" s="13">
        <f t="shared" si="0"/>
        <v>0</v>
      </c>
      <c r="H93" s="15"/>
      <c r="I93" s="15"/>
      <c r="J93" s="15"/>
      <c r="K93" s="15"/>
      <c r="L93" s="61"/>
      <c r="M93" s="49"/>
      <c r="P93" s="67">
        <v>600</v>
      </c>
    </row>
    <row r="94" spans="3:16" s="60" customFormat="1" ht="12.75" x14ac:dyDescent="0.2">
      <c r="C94" s="9"/>
      <c r="D94" s="10" t="s">
        <v>162</v>
      </c>
      <c r="E94" s="11" t="s">
        <v>163</v>
      </c>
      <c r="F94" s="12" t="s">
        <v>164</v>
      </c>
      <c r="G94" s="13">
        <f t="shared" si="0"/>
        <v>39.573</v>
      </c>
      <c r="H94" s="15"/>
      <c r="I94" s="15">
        <v>39.573</v>
      </c>
      <c r="J94" s="15"/>
      <c r="K94" s="15"/>
      <c r="L94" s="61"/>
      <c r="M94" s="49"/>
      <c r="P94" s="67">
        <v>610</v>
      </c>
    </row>
    <row r="95" spans="3:16" s="60" customFormat="1" ht="12.75" x14ac:dyDescent="0.2">
      <c r="C95" s="9"/>
      <c r="D95" s="10" t="s">
        <v>165</v>
      </c>
      <c r="E95" s="11" t="s">
        <v>166</v>
      </c>
      <c r="F95" s="12" t="s">
        <v>167</v>
      </c>
      <c r="G95" s="13">
        <f t="shared" si="0"/>
        <v>0</v>
      </c>
      <c r="H95" s="15"/>
      <c r="I95" s="15"/>
      <c r="J95" s="15"/>
      <c r="K95" s="15"/>
      <c r="L95" s="61"/>
      <c r="M95" s="49"/>
      <c r="P95" s="67">
        <v>620</v>
      </c>
    </row>
    <row r="96" spans="3:16" s="60" customFormat="1" ht="12.75" x14ac:dyDescent="0.2">
      <c r="C96" s="9"/>
      <c r="D96" s="99" t="s">
        <v>168</v>
      </c>
      <c r="E96" s="100"/>
      <c r="F96" s="100"/>
      <c r="G96" s="100"/>
      <c r="H96" s="100"/>
      <c r="I96" s="100"/>
      <c r="J96" s="100"/>
      <c r="K96" s="101"/>
      <c r="L96" s="61"/>
      <c r="M96" s="49"/>
      <c r="P96" s="68"/>
    </row>
    <row r="97" spans="3:16" s="60" customFormat="1" ht="12.75" x14ac:dyDescent="0.2">
      <c r="C97" s="9"/>
      <c r="D97" s="10" t="s">
        <v>169</v>
      </c>
      <c r="E97" s="11" t="s">
        <v>170</v>
      </c>
      <c r="F97" s="12" t="s">
        <v>171</v>
      </c>
      <c r="G97" s="13">
        <f t="shared" si="0"/>
        <v>0</v>
      </c>
      <c r="H97" s="13">
        <f>SUM(H98:H99)</f>
        <v>0</v>
      </c>
      <c r="I97" s="13">
        <f>SUM(I98:I99)</f>
        <v>0</v>
      </c>
      <c r="J97" s="13">
        <f>SUM(J98:J99)</f>
        <v>0</v>
      </c>
      <c r="K97" s="13">
        <f>SUM(K98:K99)</f>
        <v>0</v>
      </c>
      <c r="L97" s="61"/>
      <c r="M97" s="49"/>
      <c r="P97" s="67">
        <v>700</v>
      </c>
    </row>
    <row r="98" spans="3:16" ht="12.75" x14ac:dyDescent="0.2">
      <c r="C98" s="5"/>
      <c r="D98" s="39" t="s">
        <v>172</v>
      </c>
      <c r="E98" s="14" t="s">
        <v>173</v>
      </c>
      <c r="F98" s="12" t="s">
        <v>174</v>
      </c>
      <c r="G98" s="13">
        <f t="shared" si="0"/>
        <v>0</v>
      </c>
      <c r="H98" s="40"/>
      <c r="I98" s="40"/>
      <c r="J98" s="40"/>
      <c r="K98" s="40"/>
      <c r="L98" s="59"/>
      <c r="M98" s="49"/>
      <c r="P98" s="67">
        <v>710</v>
      </c>
    </row>
    <row r="99" spans="3:16" ht="12.75" x14ac:dyDescent="0.2">
      <c r="C99" s="5"/>
      <c r="D99" s="39" t="s">
        <v>175</v>
      </c>
      <c r="E99" s="14" t="s">
        <v>176</v>
      </c>
      <c r="F99" s="12" t="s">
        <v>177</v>
      </c>
      <c r="G99" s="13">
        <f t="shared" si="0"/>
        <v>0</v>
      </c>
      <c r="H99" s="41">
        <f>H102</f>
        <v>0</v>
      </c>
      <c r="I99" s="41">
        <f>I102</f>
        <v>0</v>
      </c>
      <c r="J99" s="41">
        <f>J102</f>
        <v>0</v>
      </c>
      <c r="K99" s="41">
        <f>K102</f>
        <v>0</v>
      </c>
      <c r="L99" s="59"/>
      <c r="M99" s="49"/>
      <c r="P99" s="67">
        <v>720</v>
      </c>
    </row>
    <row r="100" spans="3:16" ht="12.75" x14ac:dyDescent="0.2">
      <c r="C100" s="5"/>
      <c r="D100" s="39" t="s">
        <v>178</v>
      </c>
      <c r="E100" s="34" t="s">
        <v>179</v>
      </c>
      <c r="F100" s="12" t="s">
        <v>180</v>
      </c>
      <c r="G100" s="13">
        <f t="shared" si="0"/>
        <v>0</v>
      </c>
      <c r="H100" s="40"/>
      <c r="I100" s="40"/>
      <c r="J100" s="40"/>
      <c r="K100" s="40"/>
      <c r="L100" s="59"/>
      <c r="M100" s="49"/>
      <c r="P100" s="67">
        <v>730</v>
      </c>
    </row>
    <row r="101" spans="3:16" ht="12.75" x14ac:dyDescent="0.2">
      <c r="C101" s="5"/>
      <c r="D101" s="39" t="s">
        <v>181</v>
      </c>
      <c r="E101" s="35" t="s">
        <v>182</v>
      </c>
      <c r="F101" s="12" t="s">
        <v>183</v>
      </c>
      <c r="G101" s="13">
        <f t="shared" si="0"/>
        <v>0</v>
      </c>
      <c r="H101" s="40"/>
      <c r="I101" s="40"/>
      <c r="J101" s="40"/>
      <c r="K101" s="40"/>
      <c r="L101" s="59"/>
      <c r="M101" s="49"/>
      <c r="P101" s="67"/>
    </row>
    <row r="102" spans="3:16" ht="12.75" x14ac:dyDescent="0.2">
      <c r="C102" s="5"/>
      <c r="D102" s="39" t="s">
        <v>184</v>
      </c>
      <c r="E102" s="34" t="s">
        <v>185</v>
      </c>
      <c r="F102" s="12" t="s">
        <v>186</v>
      </c>
      <c r="G102" s="13">
        <f t="shared" si="0"/>
        <v>0</v>
      </c>
      <c r="H102" s="40"/>
      <c r="I102" s="40"/>
      <c r="J102" s="40"/>
      <c r="K102" s="40"/>
      <c r="L102" s="59"/>
      <c r="M102" s="49"/>
      <c r="P102" s="67">
        <v>740</v>
      </c>
    </row>
    <row r="103" spans="3:16" ht="12.75" x14ac:dyDescent="0.2">
      <c r="C103" s="5"/>
      <c r="D103" s="39" t="s">
        <v>187</v>
      </c>
      <c r="E103" s="11" t="s">
        <v>188</v>
      </c>
      <c r="F103" s="12" t="s">
        <v>189</v>
      </c>
      <c r="G103" s="13">
        <f t="shared" si="0"/>
        <v>0</v>
      </c>
      <c r="H103" s="41">
        <f>H104+H120</f>
        <v>0</v>
      </c>
      <c r="I103" s="41">
        <f>I104+I120</f>
        <v>0</v>
      </c>
      <c r="J103" s="41">
        <f>J104+J120</f>
        <v>0</v>
      </c>
      <c r="K103" s="41">
        <f>K104+K120</f>
        <v>0</v>
      </c>
      <c r="L103" s="59"/>
      <c r="M103" s="49"/>
      <c r="P103" s="67">
        <v>750</v>
      </c>
    </row>
    <row r="104" spans="3:16" ht="12.75" x14ac:dyDescent="0.2">
      <c r="C104" s="5"/>
      <c r="D104" s="39" t="s">
        <v>190</v>
      </c>
      <c r="E104" s="14" t="s">
        <v>191</v>
      </c>
      <c r="F104" s="12" t="s">
        <v>192</v>
      </c>
      <c r="G104" s="13">
        <f t="shared" si="0"/>
        <v>0</v>
      </c>
      <c r="H104" s="41">
        <f>H105+H106</f>
        <v>0</v>
      </c>
      <c r="I104" s="41">
        <f>I105+I106</f>
        <v>0</v>
      </c>
      <c r="J104" s="41">
        <f>J105+J106</f>
        <v>0</v>
      </c>
      <c r="K104" s="41">
        <f>K105+K106</f>
        <v>0</v>
      </c>
      <c r="L104" s="59"/>
      <c r="M104" s="49"/>
      <c r="P104" s="67">
        <v>760</v>
      </c>
    </row>
    <row r="105" spans="3:16" ht="12.75" x14ac:dyDescent="0.2">
      <c r="C105" s="5"/>
      <c r="D105" s="39" t="s">
        <v>193</v>
      </c>
      <c r="E105" s="34" t="s">
        <v>194</v>
      </c>
      <c r="F105" s="12" t="s">
        <v>195</v>
      </c>
      <c r="G105" s="13">
        <f t="shared" si="0"/>
        <v>0</v>
      </c>
      <c r="H105" s="40"/>
      <c r="I105" s="40"/>
      <c r="J105" s="40"/>
      <c r="K105" s="40"/>
      <c r="L105" s="59"/>
      <c r="M105" s="49"/>
      <c r="P105" s="67"/>
    </row>
    <row r="106" spans="3:16" ht="12.75" x14ac:dyDescent="0.2">
      <c r="C106" s="5"/>
      <c r="D106" s="39" t="s">
        <v>196</v>
      </c>
      <c r="E106" s="34" t="s">
        <v>197</v>
      </c>
      <c r="F106" s="12" t="s">
        <v>198</v>
      </c>
      <c r="G106" s="13">
        <f t="shared" si="0"/>
        <v>0</v>
      </c>
      <c r="H106" s="41">
        <f>H107+H110+H113+H116+H117+H118+H119</f>
        <v>0</v>
      </c>
      <c r="I106" s="41">
        <f>I107+I110+I113+I116+I117+I118+I119</f>
        <v>0</v>
      </c>
      <c r="J106" s="41">
        <f>J107+J110+J113+J116+J117+J118+J119</f>
        <v>0</v>
      </c>
      <c r="K106" s="41">
        <f>K107+K110+K113+K116+K117+K118+K119</f>
        <v>0</v>
      </c>
      <c r="L106" s="59"/>
      <c r="M106" s="49"/>
      <c r="P106" s="67"/>
    </row>
    <row r="107" spans="3:16" ht="45" x14ac:dyDescent="0.2">
      <c r="C107" s="5"/>
      <c r="D107" s="39" t="s">
        <v>199</v>
      </c>
      <c r="E107" s="35" t="s">
        <v>200</v>
      </c>
      <c r="F107" s="12" t="s">
        <v>201</v>
      </c>
      <c r="G107" s="13">
        <f t="shared" si="0"/>
        <v>0</v>
      </c>
      <c r="H107" s="42">
        <f>H108+H109</f>
        <v>0</v>
      </c>
      <c r="I107" s="42">
        <f>I108+I109</f>
        <v>0</v>
      </c>
      <c r="J107" s="42">
        <f>J108+J109</f>
        <v>0</v>
      </c>
      <c r="K107" s="42">
        <f>K108+K109</f>
        <v>0</v>
      </c>
      <c r="L107" s="59"/>
      <c r="M107" s="49"/>
      <c r="P107" s="67"/>
    </row>
    <row r="108" spans="3:16" ht="12.75" x14ac:dyDescent="0.2">
      <c r="C108" s="5"/>
      <c r="D108" s="39" t="s">
        <v>202</v>
      </c>
      <c r="E108" s="43" t="s">
        <v>203</v>
      </c>
      <c r="F108" s="12" t="s">
        <v>204</v>
      </c>
      <c r="G108" s="13">
        <f t="shared" si="0"/>
        <v>0</v>
      </c>
      <c r="H108" s="40"/>
      <c r="I108" s="40"/>
      <c r="J108" s="40"/>
      <c r="K108" s="40"/>
      <c r="L108" s="59"/>
      <c r="M108" s="49"/>
      <c r="P108" s="67"/>
    </row>
    <row r="109" spans="3:16" ht="12.75" x14ac:dyDescent="0.2">
      <c r="C109" s="5"/>
      <c r="D109" s="39" t="s">
        <v>205</v>
      </c>
      <c r="E109" s="43" t="s">
        <v>206</v>
      </c>
      <c r="F109" s="12" t="s">
        <v>207</v>
      </c>
      <c r="G109" s="13">
        <f t="shared" si="0"/>
        <v>0</v>
      </c>
      <c r="H109" s="40"/>
      <c r="I109" s="40"/>
      <c r="J109" s="40"/>
      <c r="K109" s="40"/>
      <c r="L109" s="59"/>
      <c r="M109" s="49"/>
      <c r="P109" s="67"/>
    </row>
    <row r="110" spans="3:16" ht="45" x14ac:dyDescent="0.2">
      <c r="C110" s="5"/>
      <c r="D110" s="39" t="s">
        <v>208</v>
      </c>
      <c r="E110" s="35" t="s">
        <v>209</v>
      </c>
      <c r="F110" s="12" t="s">
        <v>210</v>
      </c>
      <c r="G110" s="13">
        <f t="shared" si="0"/>
        <v>0</v>
      </c>
      <c r="H110" s="42">
        <f>H111+H112</f>
        <v>0</v>
      </c>
      <c r="I110" s="42">
        <f>I111+I112</f>
        <v>0</v>
      </c>
      <c r="J110" s="42">
        <f>J111+J112</f>
        <v>0</v>
      </c>
      <c r="K110" s="42">
        <f>K111+K112</f>
        <v>0</v>
      </c>
      <c r="L110" s="59"/>
      <c r="M110" s="49"/>
      <c r="P110" s="67"/>
    </row>
    <row r="111" spans="3:16" ht="12.75" x14ac:dyDescent="0.2">
      <c r="C111" s="5"/>
      <c r="D111" s="39" t="s">
        <v>211</v>
      </c>
      <c r="E111" s="43" t="s">
        <v>203</v>
      </c>
      <c r="F111" s="12" t="s">
        <v>212</v>
      </c>
      <c r="G111" s="13">
        <f t="shared" si="0"/>
        <v>0</v>
      </c>
      <c r="H111" s="40"/>
      <c r="I111" s="40"/>
      <c r="J111" s="40"/>
      <c r="K111" s="40"/>
      <c r="L111" s="59"/>
      <c r="M111" s="49"/>
      <c r="P111" s="67"/>
    </row>
    <row r="112" spans="3:16" ht="12.75" x14ac:dyDescent="0.2">
      <c r="C112" s="5"/>
      <c r="D112" s="39" t="s">
        <v>213</v>
      </c>
      <c r="E112" s="43" t="s">
        <v>206</v>
      </c>
      <c r="F112" s="12" t="s">
        <v>214</v>
      </c>
      <c r="G112" s="13">
        <f t="shared" si="0"/>
        <v>0</v>
      </c>
      <c r="H112" s="40"/>
      <c r="I112" s="40"/>
      <c r="J112" s="40"/>
      <c r="K112" s="40"/>
      <c r="L112" s="59"/>
      <c r="M112" s="49"/>
      <c r="P112" s="67"/>
    </row>
    <row r="113" spans="3:16" ht="22.5" x14ac:dyDescent="0.2">
      <c r="C113" s="5"/>
      <c r="D113" s="39" t="s">
        <v>215</v>
      </c>
      <c r="E113" s="35" t="s">
        <v>216</v>
      </c>
      <c r="F113" s="12" t="s">
        <v>217</v>
      </c>
      <c r="G113" s="13">
        <f t="shared" si="0"/>
        <v>0</v>
      </c>
      <c r="H113" s="42">
        <f>H114+H115</f>
        <v>0</v>
      </c>
      <c r="I113" s="42">
        <f>I114+I115</f>
        <v>0</v>
      </c>
      <c r="J113" s="42">
        <f>J114+J115</f>
        <v>0</v>
      </c>
      <c r="K113" s="42">
        <f>K114+K115</f>
        <v>0</v>
      </c>
      <c r="L113" s="59"/>
      <c r="M113" s="49"/>
      <c r="P113" s="67"/>
    </row>
    <row r="114" spans="3:16" ht="12.75" x14ac:dyDescent="0.2">
      <c r="C114" s="5"/>
      <c r="D114" s="39" t="s">
        <v>218</v>
      </c>
      <c r="E114" s="43" t="s">
        <v>203</v>
      </c>
      <c r="F114" s="12" t="s">
        <v>219</v>
      </c>
      <c r="G114" s="13">
        <f t="shared" si="0"/>
        <v>0</v>
      </c>
      <c r="H114" s="40"/>
      <c r="I114" s="40"/>
      <c r="J114" s="40"/>
      <c r="K114" s="40"/>
      <c r="L114" s="59"/>
      <c r="M114" s="49"/>
      <c r="P114" s="67"/>
    </row>
    <row r="115" spans="3:16" ht="12.75" x14ac:dyDescent="0.2">
      <c r="C115" s="5"/>
      <c r="D115" s="39" t="s">
        <v>220</v>
      </c>
      <c r="E115" s="43" t="s">
        <v>206</v>
      </c>
      <c r="F115" s="12" t="s">
        <v>221</v>
      </c>
      <c r="G115" s="13">
        <f t="shared" si="0"/>
        <v>0</v>
      </c>
      <c r="H115" s="40"/>
      <c r="I115" s="40"/>
      <c r="J115" s="40"/>
      <c r="K115" s="40"/>
      <c r="L115" s="59"/>
      <c r="M115" s="49"/>
      <c r="P115" s="67"/>
    </row>
    <row r="116" spans="3:16" ht="22.5" x14ac:dyDescent="0.2">
      <c r="C116" s="5"/>
      <c r="D116" s="39" t="s">
        <v>222</v>
      </c>
      <c r="E116" s="35" t="s">
        <v>223</v>
      </c>
      <c r="F116" s="12" t="s">
        <v>224</v>
      </c>
      <c r="G116" s="13">
        <f t="shared" si="0"/>
        <v>0</v>
      </c>
      <c r="H116" s="40"/>
      <c r="I116" s="40"/>
      <c r="J116" s="40"/>
      <c r="K116" s="40"/>
      <c r="L116" s="59"/>
      <c r="M116" s="49"/>
      <c r="P116" s="67"/>
    </row>
    <row r="117" spans="3:16" ht="12.75" x14ac:dyDescent="0.2">
      <c r="C117" s="5"/>
      <c r="D117" s="39" t="s">
        <v>225</v>
      </c>
      <c r="E117" s="35" t="s">
        <v>226</v>
      </c>
      <c r="F117" s="12" t="s">
        <v>227</v>
      </c>
      <c r="G117" s="13">
        <f t="shared" si="0"/>
        <v>0</v>
      </c>
      <c r="H117" s="40"/>
      <c r="I117" s="40"/>
      <c r="J117" s="40"/>
      <c r="K117" s="40"/>
      <c r="L117" s="59"/>
      <c r="M117" s="49"/>
      <c r="P117" s="67"/>
    </row>
    <row r="118" spans="3:16" ht="45" x14ac:dyDescent="0.2">
      <c r="C118" s="5"/>
      <c r="D118" s="39" t="s">
        <v>228</v>
      </c>
      <c r="E118" s="35" t="s">
        <v>229</v>
      </c>
      <c r="F118" s="12" t="s">
        <v>230</v>
      </c>
      <c r="G118" s="13">
        <f t="shared" si="0"/>
        <v>0</v>
      </c>
      <c r="H118" s="40"/>
      <c r="I118" s="40"/>
      <c r="J118" s="40"/>
      <c r="K118" s="40"/>
      <c r="L118" s="59"/>
      <c r="M118" s="49"/>
      <c r="P118" s="67"/>
    </row>
    <row r="119" spans="3:16" ht="22.5" x14ac:dyDescent="0.2">
      <c r="C119" s="5"/>
      <c r="D119" s="39" t="s">
        <v>231</v>
      </c>
      <c r="E119" s="35" t="s">
        <v>232</v>
      </c>
      <c r="F119" s="12" t="s">
        <v>233</v>
      </c>
      <c r="G119" s="13">
        <f t="shared" si="0"/>
        <v>0</v>
      </c>
      <c r="H119" s="40"/>
      <c r="I119" s="40"/>
      <c r="J119" s="40"/>
      <c r="K119" s="40"/>
      <c r="L119" s="59"/>
      <c r="M119" s="49"/>
      <c r="P119" s="67"/>
    </row>
    <row r="120" spans="3:16" ht="12.75" x14ac:dyDescent="0.2">
      <c r="C120" s="5"/>
      <c r="D120" s="39" t="s">
        <v>234</v>
      </c>
      <c r="E120" s="14" t="s">
        <v>235</v>
      </c>
      <c r="F120" s="12" t="s">
        <v>236</v>
      </c>
      <c r="G120" s="13">
        <f t="shared" si="0"/>
        <v>0</v>
      </c>
      <c r="H120" s="41">
        <f>H123</f>
        <v>0</v>
      </c>
      <c r="I120" s="41">
        <f>I123</f>
        <v>0</v>
      </c>
      <c r="J120" s="41">
        <f>J123</f>
        <v>0</v>
      </c>
      <c r="K120" s="41">
        <f>K123</f>
        <v>0</v>
      </c>
      <c r="L120" s="59"/>
      <c r="M120" s="49"/>
      <c r="P120" s="67">
        <v>770</v>
      </c>
    </row>
    <row r="121" spans="3:16" ht="12.75" x14ac:dyDescent="0.2">
      <c r="C121" s="5"/>
      <c r="D121" s="39" t="s">
        <v>237</v>
      </c>
      <c r="E121" s="34" t="s">
        <v>179</v>
      </c>
      <c r="F121" s="12" t="s">
        <v>238</v>
      </c>
      <c r="G121" s="13">
        <f t="shared" si="0"/>
        <v>0</v>
      </c>
      <c r="H121" s="40"/>
      <c r="I121" s="40"/>
      <c r="J121" s="40"/>
      <c r="K121" s="40"/>
      <c r="L121" s="59"/>
      <c r="M121" s="49"/>
      <c r="P121" s="67">
        <v>780</v>
      </c>
    </row>
    <row r="122" spans="3:16" ht="12.75" x14ac:dyDescent="0.2">
      <c r="C122" s="5"/>
      <c r="D122" s="39" t="s">
        <v>239</v>
      </c>
      <c r="E122" s="35" t="s">
        <v>240</v>
      </c>
      <c r="F122" s="12" t="s">
        <v>241</v>
      </c>
      <c r="G122" s="13">
        <f t="shared" si="0"/>
        <v>0</v>
      </c>
      <c r="H122" s="40"/>
      <c r="I122" s="40"/>
      <c r="J122" s="40"/>
      <c r="K122" s="40"/>
      <c r="L122" s="59"/>
      <c r="M122" s="49"/>
      <c r="P122" s="67"/>
    </row>
    <row r="123" spans="3:16" ht="12.75" x14ac:dyDescent="0.2">
      <c r="C123" s="5"/>
      <c r="D123" s="39" t="s">
        <v>242</v>
      </c>
      <c r="E123" s="34" t="s">
        <v>185</v>
      </c>
      <c r="F123" s="12" t="s">
        <v>243</v>
      </c>
      <c r="G123" s="13">
        <f t="shared" si="0"/>
        <v>0</v>
      </c>
      <c r="H123" s="40"/>
      <c r="I123" s="40"/>
      <c r="J123" s="40"/>
      <c r="K123" s="40"/>
      <c r="L123" s="59"/>
      <c r="M123" s="49"/>
      <c r="P123" s="67">
        <v>790</v>
      </c>
    </row>
    <row r="124" spans="3:16" ht="22.5" x14ac:dyDescent="0.2">
      <c r="C124" s="5"/>
      <c r="D124" s="39" t="s">
        <v>244</v>
      </c>
      <c r="E124" s="32" t="s">
        <v>245</v>
      </c>
      <c r="F124" s="12" t="s">
        <v>246</v>
      </c>
      <c r="G124" s="13">
        <f t="shared" si="0"/>
        <v>6000.5940000000001</v>
      </c>
      <c r="H124" s="41">
        <f>SUM(H125:H126)</f>
        <v>5.8999999999999997E-2</v>
      </c>
      <c r="I124" s="41">
        <f>SUM(I125:I126)</f>
        <v>3510.694</v>
      </c>
      <c r="J124" s="41">
        <f>SUM(J125:J126)</f>
        <v>1579.2670000000001</v>
      </c>
      <c r="K124" s="41">
        <f>SUM(K125:K126)</f>
        <v>910.57399999999996</v>
      </c>
      <c r="L124" s="59"/>
      <c r="M124" s="49"/>
      <c r="P124" s="67"/>
    </row>
    <row r="125" spans="3:16" ht="12.75" x14ac:dyDescent="0.2">
      <c r="C125" s="5"/>
      <c r="D125" s="39" t="s">
        <v>247</v>
      </c>
      <c r="E125" s="14" t="s">
        <v>173</v>
      </c>
      <c r="F125" s="12" t="s">
        <v>248</v>
      </c>
      <c r="G125" s="13">
        <f t="shared" si="0"/>
        <v>0</v>
      </c>
      <c r="H125" s="40"/>
      <c r="I125" s="40"/>
      <c r="J125" s="40"/>
      <c r="K125" s="40"/>
      <c r="L125" s="59"/>
      <c r="M125" s="49"/>
      <c r="P125" s="67"/>
    </row>
    <row r="126" spans="3:16" ht="12.75" x14ac:dyDescent="0.2">
      <c r="C126" s="5"/>
      <c r="D126" s="39" t="s">
        <v>249</v>
      </c>
      <c r="E126" s="14" t="s">
        <v>176</v>
      </c>
      <c r="F126" s="12" t="s">
        <v>250</v>
      </c>
      <c r="G126" s="13">
        <f t="shared" si="0"/>
        <v>6000.5940000000001</v>
      </c>
      <c r="H126" s="41">
        <f>H128</f>
        <v>5.8999999999999997E-2</v>
      </c>
      <c r="I126" s="41">
        <f>I128</f>
        <v>3510.694</v>
      </c>
      <c r="J126" s="41">
        <f>J128</f>
        <v>1579.2670000000001</v>
      </c>
      <c r="K126" s="41">
        <f>K128</f>
        <v>910.57399999999996</v>
      </c>
      <c r="L126" s="59"/>
      <c r="M126" s="49"/>
      <c r="P126" s="67"/>
    </row>
    <row r="127" spans="3:16" ht="12.75" x14ac:dyDescent="0.2">
      <c r="C127" s="5"/>
      <c r="D127" s="39" t="s">
        <v>251</v>
      </c>
      <c r="E127" s="34" t="s">
        <v>252</v>
      </c>
      <c r="F127" s="12" t="s">
        <v>253</v>
      </c>
      <c r="G127" s="13">
        <f t="shared" si="0"/>
        <v>44.622999999999998</v>
      </c>
      <c r="H127" s="40"/>
      <c r="I127" s="40">
        <v>44.622999999999998</v>
      </c>
      <c r="J127" s="40"/>
      <c r="K127" s="40"/>
      <c r="L127" s="59"/>
      <c r="M127" s="49"/>
      <c r="P127" s="67"/>
    </row>
    <row r="128" spans="3:16" ht="12.75" x14ac:dyDescent="0.2">
      <c r="C128" s="5"/>
      <c r="D128" s="39" t="s">
        <v>254</v>
      </c>
      <c r="E128" s="34" t="s">
        <v>185</v>
      </c>
      <c r="F128" s="12" t="s">
        <v>255</v>
      </c>
      <c r="G128" s="13">
        <f t="shared" si="0"/>
        <v>6000.5940000000001</v>
      </c>
      <c r="H128" s="40">
        <f>H48+H34</f>
        <v>5.8999999999999997E-2</v>
      </c>
      <c r="I128" s="40">
        <f>I34+150.482</f>
        <v>3510.694</v>
      </c>
      <c r="J128" s="40">
        <f>J34+2.674+16.458</f>
        <v>1579.2670000000001</v>
      </c>
      <c r="K128" s="40">
        <f>K34</f>
        <v>910.57399999999996</v>
      </c>
      <c r="L128" s="59"/>
      <c r="M128" s="49"/>
      <c r="P128" s="67"/>
    </row>
    <row r="129" spans="3:16" ht="12.75" x14ac:dyDescent="0.2">
      <c r="C129" s="5"/>
      <c r="D129" s="99" t="s">
        <v>256</v>
      </c>
      <c r="E129" s="100"/>
      <c r="F129" s="100"/>
      <c r="G129" s="100"/>
      <c r="H129" s="100"/>
      <c r="I129" s="100"/>
      <c r="J129" s="100"/>
      <c r="K129" s="101"/>
      <c r="L129" s="59"/>
      <c r="M129" s="49"/>
      <c r="P129" s="71"/>
    </row>
    <row r="130" spans="3:16" ht="22.5" x14ac:dyDescent="0.2">
      <c r="C130" s="5"/>
      <c r="D130" s="39" t="s">
        <v>257</v>
      </c>
      <c r="E130" s="11" t="s">
        <v>258</v>
      </c>
      <c r="F130" s="12" t="s">
        <v>259</v>
      </c>
      <c r="G130" s="13">
        <f t="shared" si="0"/>
        <v>0</v>
      </c>
      <c r="H130" s="41">
        <f>SUM( H131:H132)</f>
        <v>0</v>
      </c>
      <c r="I130" s="41">
        <f>SUM( I131:I132)</f>
        <v>0</v>
      </c>
      <c r="J130" s="41">
        <f>SUM( J131:J132)</f>
        <v>0</v>
      </c>
      <c r="K130" s="41">
        <f>SUM( K131:K132)</f>
        <v>0</v>
      </c>
      <c r="L130" s="59"/>
      <c r="M130" s="49"/>
      <c r="P130" s="67">
        <v>800</v>
      </c>
    </row>
    <row r="131" spans="3:16" ht="12.75" x14ac:dyDescent="0.2">
      <c r="C131" s="5"/>
      <c r="D131" s="39" t="s">
        <v>260</v>
      </c>
      <c r="E131" s="14" t="s">
        <v>173</v>
      </c>
      <c r="F131" s="12" t="s">
        <v>261</v>
      </c>
      <c r="G131" s="13">
        <f t="shared" si="0"/>
        <v>0</v>
      </c>
      <c r="H131" s="40"/>
      <c r="I131" s="40"/>
      <c r="J131" s="40"/>
      <c r="K131" s="40"/>
      <c r="L131" s="59"/>
      <c r="M131" s="49"/>
      <c r="P131" s="67">
        <v>810</v>
      </c>
    </row>
    <row r="132" spans="3:16" ht="12.75" x14ac:dyDescent="0.2">
      <c r="C132" s="5"/>
      <c r="D132" s="39" t="s">
        <v>262</v>
      </c>
      <c r="E132" s="14" t="s">
        <v>176</v>
      </c>
      <c r="F132" s="12" t="s">
        <v>263</v>
      </c>
      <c r="G132" s="13">
        <f t="shared" si="0"/>
        <v>0</v>
      </c>
      <c r="H132" s="41">
        <f>H133+H135</f>
        <v>0</v>
      </c>
      <c r="I132" s="41">
        <f>I133+I135</f>
        <v>0</v>
      </c>
      <c r="J132" s="41">
        <f>J133+J135</f>
        <v>0</v>
      </c>
      <c r="K132" s="41">
        <f>K133+K135</f>
        <v>0</v>
      </c>
      <c r="L132" s="59"/>
      <c r="M132" s="49"/>
      <c r="P132" s="67">
        <v>820</v>
      </c>
    </row>
    <row r="133" spans="3:16" ht="12.75" x14ac:dyDescent="0.2">
      <c r="C133" s="5"/>
      <c r="D133" s="39" t="s">
        <v>264</v>
      </c>
      <c r="E133" s="34" t="s">
        <v>265</v>
      </c>
      <c r="F133" s="12" t="s">
        <v>266</v>
      </c>
      <c r="G133" s="13">
        <f t="shared" si="0"/>
        <v>0</v>
      </c>
      <c r="H133" s="40"/>
      <c r="I133" s="40"/>
      <c r="J133" s="40"/>
      <c r="K133" s="40"/>
      <c r="L133" s="59"/>
      <c r="M133" s="49"/>
      <c r="P133" s="67">
        <v>830</v>
      </c>
    </row>
    <row r="134" spans="3:16" ht="12.75" x14ac:dyDescent="0.2">
      <c r="C134" s="5"/>
      <c r="D134" s="39" t="s">
        <v>267</v>
      </c>
      <c r="E134" s="35" t="s">
        <v>268</v>
      </c>
      <c r="F134" s="12" t="s">
        <v>269</v>
      </c>
      <c r="G134" s="13">
        <f t="shared" si="0"/>
        <v>0</v>
      </c>
      <c r="H134" s="40"/>
      <c r="I134" s="40"/>
      <c r="J134" s="40"/>
      <c r="K134" s="40"/>
      <c r="L134" s="59"/>
      <c r="M134" s="49"/>
      <c r="P134" s="71"/>
    </row>
    <row r="135" spans="3:16" ht="12.75" x14ac:dyDescent="0.2">
      <c r="C135" s="5"/>
      <c r="D135" s="39" t="s">
        <v>270</v>
      </c>
      <c r="E135" s="34" t="s">
        <v>271</v>
      </c>
      <c r="F135" s="12" t="s">
        <v>272</v>
      </c>
      <c r="G135" s="13">
        <f t="shared" si="0"/>
        <v>0</v>
      </c>
      <c r="H135" s="40"/>
      <c r="I135" s="40"/>
      <c r="J135" s="40"/>
      <c r="K135" s="40"/>
      <c r="L135" s="59"/>
      <c r="M135" s="49"/>
      <c r="P135" s="67">
        <v>840</v>
      </c>
    </row>
    <row r="136" spans="3:16" ht="12.75" x14ac:dyDescent="0.2">
      <c r="C136" s="5"/>
      <c r="D136" s="39" t="s">
        <v>19</v>
      </c>
      <c r="E136" s="11" t="s">
        <v>273</v>
      </c>
      <c r="F136" s="12" t="s">
        <v>274</v>
      </c>
      <c r="G136" s="13">
        <f t="shared" si="0"/>
        <v>0</v>
      </c>
      <c r="H136" s="42">
        <f>SUM( H137+H142)</f>
        <v>0</v>
      </c>
      <c r="I136" s="42">
        <f>SUM( I137+I142)</f>
        <v>0</v>
      </c>
      <c r="J136" s="42">
        <f>SUM( J137+J142)</f>
        <v>0</v>
      </c>
      <c r="K136" s="42">
        <f>SUM( K137+K142)</f>
        <v>0</v>
      </c>
      <c r="L136" s="62"/>
      <c r="M136" s="49"/>
      <c r="P136" s="67">
        <v>850</v>
      </c>
    </row>
    <row r="137" spans="3:16" ht="12.75" x14ac:dyDescent="0.2">
      <c r="C137" s="5"/>
      <c r="D137" s="39" t="s">
        <v>275</v>
      </c>
      <c r="E137" s="14" t="s">
        <v>173</v>
      </c>
      <c r="F137" s="12" t="s">
        <v>276</v>
      </c>
      <c r="G137" s="13">
        <f t="shared" ref="G137:G150" si="1">SUM(H137:K137)</f>
        <v>0</v>
      </c>
      <c r="H137" s="42">
        <f>SUM( H138:H139)</f>
        <v>0</v>
      </c>
      <c r="I137" s="42">
        <f>SUM( I138:I139)</f>
        <v>0</v>
      </c>
      <c r="J137" s="42">
        <f>SUM( J138:J139)</f>
        <v>0</v>
      </c>
      <c r="K137" s="42">
        <f>SUM( K138:K139)</f>
        <v>0</v>
      </c>
      <c r="L137" s="62"/>
      <c r="M137" s="49"/>
      <c r="P137" s="67">
        <v>860</v>
      </c>
    </row>
    <row r="138" spans="3:16" ht="12.75" x14ac:dyDescent="0.2">
      <c r="C138" s="5"/>
      <c r="D138" s="39" t="s">
        <v>277</v>
      </c>
      <c r="E138" s="34" t="s">
        <v>194</v>
      </c>
      <c r="F138" s="12" t="s">
        <v>278</v>
      </c>
      <c r="G138" s="13">
        <f t="shared" si="1"/>
        <v>0</v>
      </c>
      <c r="H138" s="44"/>
      <c r="I138" s="44"/>
      <c r="J138" s="44"/>
      <c r="K138" s="44"/>
      <c r="L138" s="62"/>
      <c r="M138" s="49"/>
      <c r="P138" s="67"/>
    </row>
    <row r="139" spans="3:16" ht="12.75" x14ac:dyDescent="0.2">
      <c r="C139" s="5"/>
      <c r="D139" s="39" t="s">
        <v>279</v>
      </c>
      <c r="E139" s="34" t="s">
        <v>197</v>
      </c>
      <c r="F139" s="12" t="s">
        <v>280</v>
      </c>
      <c r="G139" s="13">
        <f t="shared" si="1"/>
        <v>0</v>
      </c>
      <c r="H139" s="42">
        <f>H140+H141</f>
        <v>0</v>
      </c>
      <c r="I139" s="42">
        <f>I140+I141</f>
        <v>0</v>
      </c>
      <c r="J139" s="42">
        <f>J140+J141</f>
        <v>0</v>
      </c>
      <c r="K139" s="42">
        <f>K140+K141</f>
        <v>0</v>
      </c>
      <c r="L139" s="62"/>
      <c r="M139" s="49"/>
      <c r="P139" s="67"/>
    </row>
    <row r="140" spans="3:16" ht="12.75" x14ac:dyDescent="0.2">
      <c r="C140" s="5"/>
      <c r="D140" s="39" t="s">
        <v>281</v>
      </c>
      <c r="E140" s="35" t="s">
        <v>203</v>
      </c>
      <c r="F140" s="12" t="s">
        <v>282</v>
      </c>
      <c r="G140" s="13">
        <f t="shared" si="1"/>
        <v>0</v>
      </c>
      <c r="H140" s="44"/>
      <c r="I140" s="44"/>
      <c r="J140" s="44"/>
      <c r="K140" s="44"/>
      <c r="L140" s="62"/>
      <c r="M140" s="49"/>
      <c r="P140" s="67"/>
    </row>
    <row r="141" spans="3:16" ht="12.75" x14ac:dyDescent="0.2">
      <c r="C141" s="5"/>
      <c r="D141" s="39" t="s">
        <v>283</v>
      </c>
      <c r="E141" s="35" t="s">
        <v>284</v>
      </c>
      <c r="F141" s="12" t="s">
        <v>285</v>
      </c>
      <c r="G141" s="13">
        <f t="shared" si="1"/>
        <v>0</v>
      </c>
      <c r="H141" s="44"/>
      <c r="I141" s="44"/>
      <c r="J141" s="44"/>
      <c r="K141" s="44"/>
      <c r="L141" s="62"/>
      <c r="M141" s="49"/>
      <c r="P141" s="67"/>
    </row>
    <row r="142" spans="3:16" ht="12.75" x14ac:dyDescent="0.2">
      <c r="C142" s="5"/>
      <c r="D142" s="39" t="s">
        <v>286</v>
      </c>
      <c r="E142" s="14" t="s">
        <v>235</v>
      </c>
      <c r="F142" s="12" t="s">
        <v>287</v>
      </c>
      <c r="G142" s="13">
        <f t="shared" si="1"/>
        <v>0</v>
      </c>
      <c r="H142" s="42">
        <f>H143+H145</f>
        <v>0</v>
      </c>
      <c r="I142" s="42">
        <f>I143+I145</f>
        <v>0</v>
      </c>
      <c r="J142" s="42">
        <f>J143+J145</f>
        <v>0</v>
      </c>
      <c r="K142" s="42">
        <f>K143+K145</f>
        <v>0</v>
      </c>
      <c r="L142" s="62"/>
      <c r="M142" s="49"/>
      <c r="P142" s="67">
        <v>870</v>
      </c>
    </row>
    <row r="143" spans="3:16" ht="12.75" x14ac:dyDescent="0.2">
      <c r="C143" s="5"/>
      <c r="D143" s="39" t="s">
        <v>288</v>
      </c>
      <c r="E143" s="34" t="s">
        <v>265</v>
      </c>
      <c r="F143" s="12" t="s">
        <v>289</v>
      </c>
      <c r="G143" s="13">
        <f t="shared" si="1"/>
        <v>0</v>
      </c>
      <c r="H143" s="40"/>
      <c r="I143" s="40"/>
      <c r="J143" s="40"/>
      <c r="K143" s="40"/>
      <c r="L143" s="62"/>
      <c r="M143" s="49"/>
      <c r="P143" s="67">
        <v>880</v>
      </c>
    </row>
    <row r="144" spans="3:16" ht="12.75" x14ac:dyDescent="0.2">
      <c r="C144" s="5"/>
      <c r="D144" s="39" t="s">
        <v>290</v>
      </c>
      <c r="E144" s="35" t="s">
        <v>268</v>
      </c>
      <c r="F144" s="12" t="s">
        <v>291</v>
      </c>
      <c r="G144" s="13">
        <f t="shared" si="1"/>
        <v>0</v>
      </c>
      <c r="H144" s="40"/>
      <c r="I144" s="40"/>
      <c r="J144" s="40"/>
      <c r="K144" s="40"/>
      <c r="L144" s="62"/>
      <c r="M144" s="49"/>
      <c r="P144" s="67"/>
    </row>
    <row r="145" spans="3:19" ht="12.75" x14ac:dyDescent="0.2">
      <c r="C145" s="5"/>
      <c r="D145" s="39" t="s">
        <v>292</v>
      </c>
      <c r="E145" s="34" t="s">
        <v>271</v>
      </c>
      <c r="F145" s="12" t="s">
        <v>293</v>
      </c>
      <c r="G145" s="13">
        <f t="shared" si="1"/>
        <v>0</v>
      </c>
      <c r="H145" s="45"/>
      <c r="I145" s="45"/>
      <c r="J145" s="45"/>
      <c r="K145" s="45"/>
      <c r="L145" s="62"/>
      <c r="M145" s="49"/>
      <c r="P145" s="67">
        <v>890</v>
      </c>
    </row>
    <row r="146" spans="3:19" ht="22.5" x14ac:dyDescent="0.2">
      <c r="C146" s="5"/>
      <c r="D146" s="39" t="s">
        <v>294</v>
      </c>
      <c r="E146" s="11" t="s">
        <v>295</v>
      </c>
      <c r="F146" s="12" t="s">
        <v>296</v>
      </c>
      <c r="G146" s="13">
        <f t="shared" si="1"/>
        <v>3655.0390899959998</v>
      </c>
      <c r="H146" s="46">
        <f>SUM( H147:H148)</f>
        <v>6.2622599999999995E-3</v>
      </c>
      <c r="I146" s="46">
        <f>SUM( I147:I148)</f>
        <v>3390.7611039959997</v>
      </c>
      <c r="J146" s="46">
        <f>SUM( J147:J148)</f>
        <v>167.62339938</v>
      </c>
      <c r="K146" s="46">
        <f>SUM( K147:K148)</f>
        <v>96.648324360000004</v>
      </c>
      <c r="L146" s="62"/>
      <c r="M146" s="81"/>
      <c r="N146" s="82"/>
      <c r="O146" s="82"/>
      <c r="P146" s="67">
        <v>900</v>
      </c>
      <c r="Q146" s="82"/>
      <c r="R146" s="82"/>
    </row>
    <row r="147" spans="3:19" ht="12.75" x14ac:dyDescent="0.2">
      <c r="C147" s="5"/>
      <c r="D147" s="39" t="s">
        <v>297</v>
      </c>
      <c r="E147" s="14" t="s">
        <v>173</v>
      </c>
      <c r="F147" s="12" t="s">
        <v>298</v>
      </c>
      <c r="G147" s="13">
        <f t="shared" si="1"/>
        <v>0</v>
      </c>
      <c r="H147" s="45"/>
      <c r="I147" s="45"/>
      <c r="J147" s="45"/>
      <c r="K147" s="45"/>
      <c r="L147" s="62"/>
      <c r="M147" s="81"/>
      <c r="N147" s="82"/>
      <c r="O147" s="82"/>
      <c r="P147" s="67"/>
      <c r="Q147" s="82"/>
      <c r="R147" s="82"/>
    </row>
    <row r="148" spans="3:19" ht="12.75" x14ac:dyDescent="0.2">
      <c r="C148" s="5"/>
      <c r="D148" s="39" t="s">
        <v>299</v>
      </c>
      <c r="E148" s="14" t="s">
        <v>176</v>
      </c>
      <c r="F148" s="12" t="s">
        <v>300</v>
      </c>
      <c r="G148" s="13">
        <f t="shared" si="1"/>
        <v>3655.0390899959998</v>
      </c>
      <c r="H148" s="46">
        <f>H149+H150</f>
        <v>6.2622599999999995E-3</v>
      </c>
      <c r="I148" s="46">
        <f>I149+I150</f>
        <v>3390.7611039959997</v>
      </c>
      <c r="J148" s="46">
        <f>J149+J150</f>
        <v>167.62339938</v>
      </c>
      <c r="K148" s="46">
        <f>K149+K150</f>
        <v>96.648324360000004</v>
      </c>
      <c r="L148" s="62"/>
      <c r="M148" s="81"/>
      <c r="N148" s="82"/>
      <c r="O148" s="82"/>
      <c r="P148" s="67"/>
      <c r="Q148" s="82"/>
      <c r="R148" s="82"/>
    </row>
    <row r="149" spans="3:19" ht="12.75" x14ac:dyDescent="0.2">
      <c r="C149" s="5"/>
      <c r="D149" s="39" t="s">
        <v>301</v>
      </c>
      <c r="E149" s="34" t="s">
        <v>302</v>
      </c>
      <c r="F149" s="12" t="s">
        <v>303</v>
      </c>
      <c r="G149" s="13">
        <f t="shared" si="1"/>
        <v>3018.1360428359999</v>
      </c>
      <c r="H149" s="45"/>
      <c r="I149" s="45">
        <f>I127*56363.61/1000*1.2</f>
        <v>3018.1360428359999</v>
      </c>
      <c r="J149" s="45"/>
      <c r="K149" s="45"/>
      <c r="L149" s="62"/>
      <c r="M149" s="81"/>
      <c r="N149" s="83">
        <f>январь!I151+февраль!I151+март!I151+апрель!I151+май!I149+июнь!I149</f>
        <v>18108.816257015998</v>
      </c>
      <c r="O149" s="82"/>
      <c r="P149" s="67" t="s">
        <v>333</v>
      </c>
      <c r="Q149" s="84">
        <f>SUM(M149:P149)</f>
        <v>18108.816257015998</v>
      </c>
      <c r="R149" s="82"/>
    </row>
    <row r="150" spans="3:19" x14ac:dyDescent="0.25">
      <c r="C150" s="5"/>
      <c r="D150" s="39" t="s">
        <v>304</v>
      </c>
      <c r="E150" s="34" t="s">
        <v>271</v>
      </c>
      <c r="F150" s="12" t="s">
        <v>305</v>
      </c>
      <c r="G150" s="13">
        <f t="shared" si="1"/>
        <v>636.90304716000014</v>
      </c>
      <c r="H150" s="45">
        <f>H128*88.45/1000*1.2</f>
        <v>6.2622599999999995E-3</v>
      </c>
      <c r="I150" s="45">
        <f>I128*88.45/1000*1.2</f>
        <v>372.62506116000003</v>
      </c>
      <c r="J150" s="45">
        <f>J128*88.45/1000*1.2</f>
        <v>167.62339938</v>
      </c>
      <c r="K150" s="45">
        <f>K128*88.45/1000*1.2</f>
        <v>96.648324360000004</v>
      </c>
      <c r="L150" s="62"/>
      <c r="M150" s="83">
        <f>январь!H152+февраль!H152+март!H152+апрель!H152+май!H150+июнь!H150</f>
        <v>14.440983839999999</v>
      </c>
      <c r="N150" s="83">
        <f>январь!I152+февраль!I152+март!I152+апрель!I152+май!I150+июнь!I150</f>
        <v>2542.4636556599999</v>
      </c>
      <c r="O150" s="83">
        <f>январь!J152+февраль!J152+март!J152+апрель!J152+май!J150+июнь!J150</f>
        <v>950.17164840000009</v>
      </c>
      <c r="P150" s="83">
        <f>январь!K152+февраль!K152+март!K152+апрель!K152+май!K150+июнь!K150</f>
        <v>550.46475396000005</v>
      </c>
      <c r="Q150" s="84">
        <f>SUM(M150:P150)</f>
        <v>4057.5410418600004</v>
      </c>
      <c r="R150" s="82"/>
    </row>
    <row r="151" spans="3:19" x14ac:dyDescent="0.25">
      <c r="D151" s="4"/>
      <c r="E151" s="47"/>
      <c r="F151" s="47"/>
      <c r="G151" s="47"/>
      <c r="H151" s="47"/>
      <c r="I151" s="47"/>
      <c r="J151" s="47"/>
      <c r="K151" s="48"/>
      <c r="L151" s="48"/>
      <c r="M151" s="85"/>
      <c r="N151" s="85"/>
      <c r="O151" s="85"/>
      <c r="P151" s="85"/>
      <c r="Q151" s="85"/>
      <c r="R151" s="86"/>
      <c r="S151" s="63"/>
    </row>
    <row r="152" spans="3:19" ht="12.75" x14ac:dyDescent="0.2">
      <c r="E152" s="49" t="s">
        <v>306</v>
      </c>
      <c r="F152" s="108" t="str">
        <f>IF([4]Титульный!G45="","",[4]Титульный!G45)</f>
        <v>экономист</v>
      </c>
      <c r="G152" s="108"/>
      <c r="H152" s="50"/>
      <c r="I152" s="108" t="str">
        <f>IF([4]Титульный!G44="","",[4]Титульный!G44)</f>
        <v>Кривнева Е. В.</v>
      </c>
      <c r="J152" s="108"/>
      <c r="K152" s="108"/>
      <c r="L152" s="50"/>
      <c r="M152" s="87"/>
      <c r="N152" s="87"/>
      <c r="O152" s="88"/>
      <c r="P152" s="85"/>
      <c r="Q152" s="85"/>
      <c r="R152" s="86"/>
      <c r="S152" s="63"/>
    </row>
    <row r="153" spans="3:19" ht="12.75" x14ac:dyDescent="0.2">
      <c r="E153" s="51" t="s">
        <v>307</v>
      </c>
      <c r="F153" s="109" t="s">
        <v>308</v>
      </c>
      <c r="G153" s="109"/>
      <c r="H153" s="52"/>
      <c r="I153" s="109" t="s">
        <v>309</v>
      </c>
      <c r="J153" s="109"/>
      <c r="K153" s="109"/>
      <c r="L153" s="52"/>
      <c r="M153" s="109" t="s">
        <v>335</v>
      </c>
      <c r="N153" s="109"/>
      <c r="O153" s="49"/>
      <c r="P153" s="48"/>
      <c r="Q153" s="48"/>
      <c r="R153" s="63"/>
      <c r="S153" s="63"/>
    </row>
    <row r="154" spans="3:19" ht="12.75" x14ac:dyDescent="0.2">
      <c r="E154" s="51" t="s">
        <v>310</v>
      </c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8"/>
      <c r="Q154" s="48"/>
      <c r="R154" s="63"/>
      <c r="S154" s="63"/>
    </row>
    <row r="155" spans="3:19" ht="12.75" x14ac:dyDescent="0.2">
      <c r="E155" s="51" t="s">
        <v>311</v>
      </c>
      <c r="F155" s="108" t="str">
        <f>IF([4]Титульный!G46="","",[4]Титульный!G46)</f>
        <v>(861) 258-50-71</v>
      </c>
      <c r="G155" s="108"/>
      <c r="H155" s="108"/>
      <c r="I155" s="49"/>
      <c r="J155" s="51" t="s">
        <v>312</v>
      </c>
      <c r="K155" s="78"/>
      <c r="L155" s="49"/>
      <c r="M155" s="49"/>
      <c r="N155" s="49"/>
      <c r="O155" s="49"/>
      <c r="P155" s="48"/>
      <c r="Q155" s="48"/>
      <c r="R155" s="63"/>
      <c r="S155" s="63"/>
    </row>
    <row r="156" spans="3:19" ht="12.75" x14ac:dyDescent="0.2">
      <c r="E156" s="49" t="s">
        <v>313</v>
      </c>
      <c r="F156" s="110" t="s">
        <v>314</v>
      </c>
      <c r="G156" s="110"/>
      <c r="H156" s="110"/>
      <c r="I156" s="49"/>
      <c r="J156" s="53" t="s">
        <v>315</v>
      </c>
      <c r="K156" s="53"/>
      <c r="L156" s="49"/>
      <c r="M156" s="49"/>
      <c r="N156" s="49"/>
      <c r="O156" s="49"/>
      <c r="P156" s="48"/>
      <c r="Q156" s="48"/>
      <c r="R156" s="63"/>
      <c r="S156" s="63"/>
    </row>
    <row r="157" spans="3:19" x14ac:dyDescent="0.25"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63"/>
      <c r="S157" s="63"/>
    </row>
    <row r="158" spans="3:19" x14ac:dyDescent="0.25"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63"/>
      <c r="S158" s="63"/>
    </row>
    <row r="159" spans="3:19" x14ac:dyDescent="0.25"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63"/>
      <c r="S159" s="63"/>
    </row>
    <row r="160" spans="3:19" x14ac:dyDescent="0.25"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63"/>
      <c r="S160" s="63"/>
    </row>
    <row r="161" spans="5:19" x14ac:dyDescent="0.25"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63"/>
      <c r="S161" s="63"/>
    </row>
    <row r="162" spans="5:19" x14ac:dyDescent="0.25"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63"/>
      <c r="S162" s="63"/>
    </row>
    <row r="163" spans="5:19" x14ac:dyDescent="0.25"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63"/>
      <c r="S163" s="63"/>
    </row>
    <row r="164" spans="5:19" x14ac:dyDescent="0.25"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63"/>
      <c r="S164" s="63"/>
    </row>
    <row r="165" spans="5:19" x14ac:dyDescent="0.25"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63"/>
      <c r="S165" s="63"/>
    </row>
    <row r="166" spans="5:19" x14ac:dyDescent="0.25"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63"/>
      <c r="S166" s="63"/>
    </row>
    <row r="167" spans="5:19" x14ac:dyDescent="0.25"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63"/>
      <c r="S167" s="63"/>
    </row>
    <row r="168" spans="5:19" x14ac:dyDescent="0.25"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63"/>
      <c r="S168" s="63"/>
    </row>
    <row r="169" spans="5:19" x14ac:dyDescent="0.25"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63"/>
      <c r="S169" s="63"/>
    </row>
    <row r="170" spans="5:19" x14ac:dyDescent="0.25"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63"/>
      <c r="S170" s="63"/>
    </row>
    <row r="171" spans="5:19" x14ac:dyDescent="0.25"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63"/>
      <c r="S171" s="63"/>
    </row>
    <row r="172" spans="5:19" x14ac:dyDescent="0.25"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63"/>
      <c r="S172" s="63"/>
    </row>
    <row r="173" spans="5:19" x14ac:dyDescent="0.25"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63"/>
      <c r="S173" s="63"/>
    </row>
    <row r="174" spans="5:19" x14ac:dyDescent="0.25"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63"/>
      <c r="S174" s="63"/>
    </row>
    <row r="175" spans="5:19" x14ac:dyDescent="0.25"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63"/>
      <c r="S175" s="63"/>
    </row>
    <row r="176" spans="5:19" x14ac:dyDescent="0.25"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63"/>
      <c r="S176" s="63"/>
    </row>
    <row r="177" spans="5:19" x14ac:dyDescent="0.25"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63"/>
      <c r="S177" s="63"/>
    </row>
    <row r="178" spans="5:19" x14ac:dyDescent="0.25"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63"/>
      <c r="S178" s="63"/>
    </row>
    <row r="179" spans="5:19" x14ac:dyDescent="0.25"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63"/>
      <c r="S179" s="63"/>
    </row>
    <row r="180" spans="5:19" x14ac:dyDescent="0.25"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63"/>
      <c r="S180" s="63"/>
    </row>
    <row r="181" spans="5:19" x14ac:dyDescent="0.25"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63"/>
      <c r="S181" s="63"/>
    </row>
    <row r="182" spans="5:19" x14ac:dyDescent="0.25"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5:19" x14ac:dyDescent="0.25"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5:19" x14ac:dyDescent="0.25"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5:19" x14ac:dyDescent="0.25"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</sheetData>
  <mergeCells count="18">
    <mergeCell ref="F152:G152"/>
    <mergeCell ref="I152:K152"/>
    <mergeCell ref="D8:E8"/>
    <mergeCell ref="D11:D12"/>
    <mergeCell ref="E11:E12"/>
    <mergeCell ref="F11:F12"/>
    <mergeCell ref="G11:G12"/>
    <mergeCell ref="H11:K11"/>
    <mergeCell ref="D14:K14"/>
    <mergeCell ref="D53:K53"/>
    <mergeCell ref="D92:K92"/>
    <mergeCell ref="D96:K96"/>
    <mergeCell ref="D129:K129"/>
    <mergeCell ref="F153:G153"/>
    <mergeCell ref="I153:K153"/>
    <mergeCell ref="M153:N153"/>
    <mergeCell ref="F155:H155"/>
    <mergeCell ref="F156:H156"/>
  </mergeCells>
  <dataValidations count="2">
    <dataValidation allowBlank="1" showInputMessage="1" promptTitle="Ввод" prompt="Для выбора организации необходимо два раза нажать левую клавишу мыши!" sqref="E42 E25:E26 E81 E64:E65"/>
    <dataValidation type="decimal" allowBlank="1" showErrorMessage="1" errorTitle="Ошибка" error="Допускается ввод только действительных чисел!" sqref="G54:K57 G93:K95 G67:K81 G15:K18 G83:K91 G97:K128 G23:K26 G44:K52 G28:K42 G130:K150 G59:K60 G20:K21 G62:K65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85"/>
  <sheetViews>
    <sheetView topLeftCell="C7" workbookViewId="0">
      <selection activeCell="F25" sqref="F25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 x14ac:dyDescent="0.25">
      <c r="S1" s="54"/>
      <c r="T1" s="54"/>
      <c r="U1" s="54"/>
      <c r="V1" s="54"/>
      <c r="Y1" s="54"/>
      <c r="AA1" s="54"/>
      <c r="AN1" s="54"/>
      <c r="AO1" s="54"/>
      <c r="AP1" s="54"/>
      <c r="BC1" s="54"/>
      <c r="BF1" s="54"/>
      <c r="BI1" s="54"/>
      <c r="BM1" s="54"/>
      <c r="BO1" s="54"/>
      <c r="BX1" s="54"/>
      <c r="BY1" s="54"/>
      <c r="CC1" s="54"/>
    </row>
    <row r="2" spans="1:81" hidden="1" x14ac:dyDescent="0.25"/>
    <row r="3" spans="1:81" hidden="1" x14ac:dyDescent="0.25"/>
    <row r="4" spans="1:81" hidden="1" x14ac:dyDescent="0.25">
      <c r="A4" s="55"/>
      <c r="F4" s="56"/>
      <c r="G4" s="56"/>
      <c r="H4" s="56"/>
      <c r="I4" s="56"/>
      <c r="J4" s="56"/>
      <c r="K4" s="56"/>
      <c r="M4" s="56"/>
      <c r="N4" s="56"/>
      <c r="O4" s="56"/>
      <c r="P4" s="56"/>
      <c r="Q4" s="56"/>
    </row>
    <row r="5" spans="1:81" hidden="1" x14ac:dyDescent="0.25">
      <c r="A5" s="57"/>
      <c r="F5" s="1" t="s">
        <v>316</v>
      </c>
      <c r="G5" s="1" t="s">
        <v>317</v>
      </c>
      <c r="H5" s="1" t="s">
        <v>318</v>
      </c>
      <c r="I5" s="1" t="s">
        <v>319</v>
      </c>
      <c r="J5" s="1" t="s">
        <v>320</v>
      </c>
      <c r="K5" s="1" t="s">
        <v>321</v>
      </c>
      <c r="L5" s="1" t="s">
        <v>322</v>
      </c>
      <c r="M5" s="1" t="s">
        <v>323</v>
      </c>
      <c r="N5" s="1" t="s">
        <v>323</v>
      </c>
      <c r="O5" s="1" t="s">
        <v>324</v>
      </c>
      <c r="P5" s="1" t="s">
        <v>325</v>
      </c>
      <c r="Q5" s="1" t="s">
        <v>326</v>
      </c>
    </row>
    <row r="6" spans="1:81" hidden="1" x14ac:dyDescent="0.25">
      <c r="A6" s="57"/>
    </row>
    <row r="7" spans="1:81" ht="12" customHeight="1" x14ac:dyDescent="0.25">
      <c r="A7" s="57"/>
      <c r="D7" s="5"/>
      <c r="E7" s="5"/>
      <c r="F7" s="5"/>
      <c r="G7" s="5"/>
      <c r="H7" s="5"/>
      <c r="I7" s="5"/>
      <c r="J7" s="5"/>
      <c r="K7" s="58"/>
      <c r="Q7" s="66"/>
    </row>
    <row r="8" spans="1:81" ht="22.5" customHeight="1" x14ac:dyDescent="0.25">
      <c r="A8" s="57"/>
      <c r="D8" s="104" t="s">
        <v>0</v>
      </c>
      <c r="E8" s="10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81" x14ac:dyDescent="0.25">
      <c r="A9" s="57"/>
      <c r="D9" s="3" t="s">
        <v>346</v>
      </c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81" ht="12" customHeight="1" x14ac:dyDescent="0.25">
      <c r="D10" s="4"/>
      <c r="E10" s="4"/>
      <c r="F10" s="5"/>
      <c r="G10" s="5"/>
      <c r="H10" s="5"/>
      <c r="I10" s="5"/>
      <c r="K10" s="6" t="s">
        <v>1</v>
      </c>
    </row>
    <row r="11" spans="1:81" ht="15" customHeight="1" x14ac:dyDescent="0.25">
      <c r="C11" s="5"/>
      <c r="D11" s="105" t="s">
        <v>2</v>
      </c>
      <c r="E11" s="102" t="s">
        <v>3</v>
      </c>
      <c r="F11" s="102" t="s">
        <v>4</v>
      </c>
      <c r="G11" s="102" t="s">
        <v>5</v>
      </c>
      <c r="H11" s="102" t="s">
        <v>6</v>
      </c>
      <c r="I11" s="102"/>
      <c r="J11" s="102"/>
      <c r="K11" s="103"/>
      <c r="L11" s="59"/>
    </row>
    <row r="12" spans="1:81" ht="15" customHeight="1" x14ac:dyDescent="0.25">
      <c r="C12" s="5"/>
      <c r="D12" s="106"/>
      <c r="E12" s="107"/>
      <c r="F12" s="107"/>
      <c r="G12" s="107"/>
      <c r="H12" s="93" t="s">
        <v>7</v>
      </c>
      <c r="I12" s="93" t="s">
        <v>8</v>
      </c>
      <c r="J12" s="93" t="s">
        <v>9</v>
      </c>
      <c r="K12" s="7" t="s">
        <v>10</v>
      </c>
      <c r="L12" s="59"/>
    </row>
    <row r="13" spans="1:81" ht="12" customHeight="1" x14ac:dyDescent="0.25">
      <c r="D13" s="8">
        <v>0</v>
      </c>
      <c r="E13" s="8">
        <v>1</v>
      </c>
      <c r="F13" s="8">
        <v>2</v>
      </c>
      <c r="G13" s="8">
        <v>3</v>
      </c>
      <c r="H13" s="8">
        <v>4</v>
      </c>
      <c r="I13" s="8">
        <v>5</v>
      </c>
      <c r="J13" s="8">
        <v>6</v>
      </c>
      <c r="K13" s="8">
        <v>7</v>
      </c>
    </row>
    <row r="14" spans="1:81" s="60" customFormat="1" ht="15" customHeight="1" x14ac:dyDescent="0.25">
      <c r="C14" s="9"/>
      <c r="D14" s="99" t="s">
        <v>11</v>
      </c>
      <c r="E14" s="100"/>
      <c r="F14" s="100"/>
      <c r="G14" s="100"/>
      <c r="H14" s="100"/>
      <c r="I14" s="100"/>
      <c r="J14" s="100"/>
      <c r="K14" s="101"/>
      <c r="L14" s="61"/>
    </row>
    <row r="15" spans="1:81" s="60" customFormat="1" ht="15" customHeight="1" x14ac:dyDescent="0.2">
      <c r="C15" s="9"/>
      <c r="D15" s="10" t="s">
        <v>12</v>
      </c>
      <c r="E15" s="11" t="s">
        <v>13</v>
      </c>
      <c r="F15" s="12">
        <v>10</v>
      </c>
      <c r="G15" s="13">
        <f>SUM(H15:K15)</f>
        <v>7549.6630000000005</v>
      </c>
      <c r="H15" s="13">
        <f>H16+H17+H20+H23</f>
        <v>1064.2380000000001</v>
      </c>
      <c r="I15" s="13">
        <f>I16+I17+I20+I23</f>
        <v>5429.8890000000001</v>
      </c>
      <c r="J15" s="13">
        <f>J16+J17+J20+J23</f>
        <v>1055.5360000000001</v>
      </c>
      <c r="K15" s="13">
        <f>K16+K17+K20+K23</f>
        <v>0</v>
      </c>
      <c r="L15" s="61"/>
      <c r="M15" s="49"/>
      <c r="P15" s="67">
        <v>10</v>
      </c>
    </row>
    <row r="16" spans="1:81" s="60" customFormat="1" ht="15" customHeight="1" x14ac:dyDescent="0.2">
      <c r="C16" s="9"/>
      <c r="D16" s="10" t="s">
        <v>14</v>
      </c>
      <c r="E16" s="14" t="s">
        <v>15</v>
      </c>
      <c r="F16" s="12">
        <v>20</v>
      </c>
      <c r="G16" s="13">
        <f t="shared" ref="G16:G136" si="0">SUM(H16:K16)</f>
        <v>0</v>
      </c>
      <c r="H16" s="15"/>
      <c r="I16" s="15"/>
      <c r="J16" s="15"/>
      <c r="K16" s="15"/>
      <c r="L16" s="61"/>
      <c r="M16" s="49"/>
      <c r="P16" s="67">
        <v>20</v>
      </c>
    </row>
    <row r="17" spans="3:16" s="60" customFormat="1" ht="12.75" x14ac:dyDescent="0.2">
      <c r="C17" s="9"/>
      <c r="D17" s="10" t="s">
        <v>16</v>
      </c>
      <c r="E17" s="14" t="s">
        <v>17</v>
      </c>
      <c r="F17" s="12">
        <v>30</v>
      </c>
      <c r="G17" s="13">
        <f t="shared" si="0"/>
        <v>0</v>
      </c>
      <c r="H17" s="13">
        <f>SUM(H18:H19)</f>
        <v>0</v>
      </c>
      <c r="I17" s="13">
        <f>SUM(I18:I19)</f>
        <v>0</v>
      </c>
      <c r="J17" s="13">
        <f>SUM(J18:J19)</f>
        <v>0</v>
      </c>
      <c r="K17" s="13">
        <f>SUM(K18:K19)</f>
        <v>0</v>
      </c>
      <c r="L17" s="61"/>
      <c r="M17" s="49"/>
      <c r="P17" s="67">
        <v>30</v>
      </c>
    </row>
    <row r="18" spans="3:16" s="60" customFormat="1" ht="12.75" x14ac:dyDescent="0.2">
      <c r="C18" s="9"/>
      <c r="D18" s="16" t="s">
        <v>18</v>
      </c>
      <c r="E18" s="17"/>
      <c r="F18" s="18" t="s">
        <v>19</v>
      </c>
      <c r="G18" s="19"/>
      <c r="H18" s="19"/>
      <c r="I18" s="19"/>
      <c r="J18" s="19"/>
      <c r="K18" s="19"/>
      <c r="L18" s="61"/>
      <c r="M18" s="49"/>
      <c r="P18" s="67"/>
    </row>
    <row r="19" spans="3:16" s="60" customFormat="1" ht="12.75" x14ac:dyDescent="0.2">
      <c r="C19" s="9"/>
      <c r="D19" s="20"/>
      <c r="E19" s="21" t="s">
        <v>20</v>
      </c>
      <c r="F19" s="22"/>
      <c r="G19" s="22"/>
      <c r="H19" s="22"/>
      <c r="I19" s="22"/>
      <c r="J19" s="22"/>
      <c r="K19" s="23"/>
      <c r="L19" s="61"/>
      <c r="M19" s="49"/>
      <c r="P19" s="68"/>
    </row>
    <row r="20" spans="3:16" s="60" customFormat="1" ht="12.75" x14ac:dyDescent="0.2">
      <c r="C20" s="9"/>
      <c r="D20" s="10" t="s">
        <v>21</v>
      </c>
      <c r="E20" s="14" t="s">
        <v>22</v>
      </c>
      <c r="F20" s="12" t="s">
        <v>23</v>
      </c>
      <c r="G20" s="13">
        <f t="shared" si="0"/>
        <v>0</v>
      </c>
      <c r="H20" s="13">
        <f>SUM(H21:H22)</f>
        <v>0</v>
      </c>
      <c r="I20" s="13">
        <f>SUM(I21:I22)</f>
        <v>0</v>
      </c>
      <c r="J20" s="13">
        <f>SUM(J21:J22)</f>
        <v>0</v>
      </c>
      <c r="K20" s="13">
        <f>SUM(K21:K22)</f>
        <v>0</v>
      </c>
      <c r="L20" s="61"/>
      <c r="M20" s="49"/>
      <c r="P20" s="68"/>
    </row>
    <row r="21" spans="3:16" s="60" customFormat="1" ht="12.75" x14ac:dyDescent="0.2">
      <c r="C21" s="9"/>
      <c r="D21" s="16" t="s">
        <v>24</v>
      </c>
      <c r="E21" s="17"/>
      <c r="F21" s="18" t="s">
        <v>23</v>
      </c>
      <c r="G21" s="19"/>
      <c r="H21" s="19"/>
      <c r="I21" s="19"/>
      <c r="J21" s="19"/>
      <c r="K21" s="19"/>
      <c r="L21" s="61"/>
      <c r="M21" s="49"/>
      <c r="P21" s="67"/>
    </row>
    <row r="22" spans="3:16" s="60" customFormat="1" ht="12.75" x14ac:dyDescent="0.2">
      <c r="C22" s="9"/>
      <c r="D22" s="20"/>
      <c r="E22" s="21" t="s">
        <v>20</v>
      </c>
      <c r="F22" s="22"/>
      <c r="G22" s="22"/>
      <c r="H22" s="22"/>
      <c r="I22" s="22"/>
      <c r="J22" s="22"/>
      <c r="K22" s="23"/>
      <c r="L22" s="61"/>
      <c r="M22" s="49"/>
      <c r="P22" s="68"/>
    </row>
    <row r="23" spans="3:16" s="60" customFormat="1" ht="12.75" x14ac:dyDescent="0.2">
      <c r="C23" s="9"/>
      <c r="D23" s="10" t="s">
        <v>25</v>
      </c>
      <c r="E23" s="14" t="s">
        <v>26</v>
      </c>
      <c r="F23" s="12" t="s">
        <v>27</v>
      </c>
      <c r="G23" s="13">
        <f t="shared" si="0"/>
        <v>7549.6630000000005</v>
      </c>
      <c r="H23" s="13">
        <f>SUM(H24:H27)</f>
        <v>1064.2380000000001</v>
      </c>
      <c r="I23" s="13">
        <f>SUM(I24:I27)</f>
        <v>5429.8890000000001</v>
      </c>
      <c r="J23" s="13">
        <f>SUM(J24:J27)</f>
        <v>1055.5360000000001</v>
      </c>
      <c r="K23" s="13">
        <f>SUM(K24:K27)</f>
        <v>0</v>
      </c>
      <c r="L23" s="61"/>
      <c r="M23" s="49"/>
      <c r="P23" s="67">
        <v>40</v>
      </c>
    </row>
    <row r="24" spans="3:16" s="60" customFormat="1" ht="12.75" x14ac:dyDescent="0.2">
      <c r="C24" s="9"/>
      <c r="D24" s="16" t="s">
        <v>28</v>
      </c>
      <c r="E24" s="17"/>
      <c r="F24" s="18" t="s">
        <v>27</v>
      </c>
      <c r="G24" s="19"/>
      <c r="H24" s="19"/>
      <c r="I24" s="19"/>
      <c r="J24" s="19"/>
      <c r="K24" s="19"/>
      <c r="L24" s="61"/>
      <c r="M24" s="49"/>
      <c r="P24" s="67"/>
    </row>
    <row r="25" spans="3:16" s="60" customFormat="1" ht="15" x14ac:dyDescent="0.25">
      <c r="C25" s="24" t="s">
        <v>29</v>
      </c>
      <c r="D25" s="25" t="s">
        <v>30</v>
      </c>
      <c r="E25" s="26" t="s">
        <v>344</v>
      </c>
      <c r="F25" s="27">
        <v>431</v>
      </c>
      <c r="G25" s="28">
        <f>SUM(H25:K25)</f>
        <v>7049.2750000000005</v>
      </c>
      <c r="H25" s="29">
        <v>1064.2380000000001</v>
      </c>
      <c r="I25" s="29">
        <v>5429.8890000000001</v>
      </c>
      <c r="J25" s="29">
        <v>555.14800000000002</v>
      </c>
      <c r="K25" s="30"/>
      <c r="L25" s="61"/>
      <c r="M25" s="69" t="s">
        <v>327</v>
      </c>
      <c r="N25" s="70" t="s">
        <v>328</v>
      </c>
      <c r="O25" s="70" t="s">
        <v>329</v>
      </c>
    </row>
    <row r="26" spans="3:16" s="60" customFormat="1" ht="15" x14ac:dyDescent="0.25">
      <c r="C26" s="24" t="s">
        <v>29</v>
      </c>
      <c r="D26" s="25" t="s">
        <v>342</v>
      </c>
      <c r="E26" s="26" t="s">
        <v>68</v>
      </c>
      <c r="F26" s="27">
        <v>432</v>
      </c>
      <c r="G26" s="28">
        <f>SUM(H26:K26)</f>
        <v>500.38799999999998</v>
      </c>
      <c r="H26" s="29"/>
      <c r="I26" s="29"/>
      <c r="J26" s="29">
        <v>500.38799999999998</v>
      </c>
      <c r="K26" s="30"/>
      <c r="L26" s="61"/>
      <c r="M26" s="69" t="s">
        <v>330</v>
      </c>
      <c r="N26" s="70" t="s">
        <v>328</v>
      </c>
      <c r="O26" s="70" t="s">
        <v>332</v>
      </c>
    </row>
    <row r="27" spans="3:16" s="60" customFormat="1" ht="12.75" x14ac:dyDescent="0.2">
      <c r="C27" s="9"/>
      <c r="D27" s="20"/>
      <c r="E27" s="21" t="s">
        <v>20</v>
      </c>
      <c r="F27" s="22"/>
      <c r="G27" s="22"/>
      <c r="H27" s="22"/>
      <c r="I27" s="22"/>
      <c r="J27" s="22"/>
      <c r="K27" s="23"/>
      <c r="L27" s="61"/>
      <c r="M27" s="49"/>
      <c r="P27" s="67"/>
    </row>
    <row r="28" spans="3:16" s="60" customFormat="1" ht="12.75" x14ac:dyDescent="0.2">
      <c r="C28" s="9"/>
      <c r="D28" s="10" t="s">
        <v>31</v>
      </c>
      <c r="E28" s="11" t="s">
        <v>32</v>
      </c>
      <c r="F28" s="12" t="s">
        <v>33</v>
      </c>
      <c r="G28" s="13">
        <f t="shared" si="0"/>
        <v>3739.2970000000014</v>
      </c>
      <c r="H28" s="13">
        <f>H30+H31+H32</f>
        <v>0</v>
      </c>
      <c r="I28" s="13">
        <f>I29+I31+I32</f>
        <v>0</v>
      </c>
      <c r="J28" s="13">
        <f>J29+J30+J32</f>
        <v>2349.1190000000006</v>
      </c>
      <c r="K28" s="13">
        <f>K29+K30+K31</f>
        <v>1390.1780000000008</v>
      </c>
      <c r="L28" s="61"/>
      <c r="M28" s="49"/>
      <c r="P28" s="67">
        <v>50</v>
      </c>
    </row>
    <row r="29" spans="3:16" s="60" customFormat="1" ht="12.75" x14ac:dyDescent="0.2">
      <c r="C29" s="9"/>
      <c r="D29" s="10" t="s">
        <v>34</v>
      </c>
      <c r="E29" s="14" t="s">
        <v>7</v>
      </c>
      <c r="F29" s="12" t="s">
        <v>35</v>
      </c>
      <c r="G29" s="13">
        <f t="shared" si="0"/>
        <v>1063.5630000000001</v>
      </c>
      <c r="H29" s="31"/>
      <c r="I29" s="15"/>
      <c r="J29" s="15">
        <f>H45</f>
        <v>1063.5630000000001</v>
      </c>
      <c r="K29" s="15"/>
      <c r="L29" s="61"/>
      <c r="M29" s="49"/>
      <c r="P29" s="67">
        <v>60</v>
      </c>
    </row>
    <row r="30" spans="3:16" s="60" customFormat="1" ht="12.75" x14ac:dyDescent="0.2">
      <c r="C30" s="9"/>
      <c r="D30" s="10" t="s">
        <v>36</v>
      </c>
      <c r="E30" s="14" t="s">
        <v>8</v>
      </c>
      <c r="F30" s="12" t="s">
        <v>37</v>
      </c>
      <c r="G30" s="13">
        <f t="shared" si="0"/>
        <v>1285.5560000000003</v>
      </c>
      <c r="H30" s="15"/>
      <c r="I30" s="31"/>
      <c r="J30" s="15">
        <f>I25-I34-I48</f>
        <v>1285.5560000000003</v>
      </c>
      <c r="K30" s="15"/>
      <c r="L30" s="61"/>
      <c r="M30" s="49"/>
      <c r="P30" s="67">
        <v>70</v>
      </c>
    </row>
    <row r="31" spans="3:16" s="60" customFormat="1" ht="12.75" x14ac:dyDescent="0.2">
      <c r="C31" s="9"/>
      <c r="D31" s="10" t="s">
        <v>38</v>
      </c>
      <c r="E31" s="14" t="s">
        <v>9</v>
      </c>
      <c r="F31" s="12" t="s">
        <v>39</v>
      </c>
      <c r="G31" s="13">
        <f t="shared" si="0"/>
        <v>1390.1780000000008</v>
      </c>
      <c r="H31" s="15"/>
      <c r="I31" s="15"/>
      <c r="J31" s="31"/>
      <c r="K31" s="15">
        <f>J23+J28+J17-J48-J34</f>
        <v>1390.1780000000008</v>
      </c>
      <c r="L31" s="61"/>
      <c r="M31" s="49"/>
      <c r="P31" s="67">
        <v>80</v>
      </c>
    </row>
    <row r="32" spans="3:16" s="60" customFormat="1" ht="12.75" x14ac:dyDescent="0.2">
      <c r="C32" s="9"/>
      <c r="D32" s="10" t="s">
        <v>40</v>
      </c>
      <c r="E32" s="14" t="s">
        <v>41</v>
      </c>
      <c r="F32" s="12" t="s">
        <v>42</v>
      </c>
      <c r="G32" s="13">
        <f t="shared" si="0"/>
        <v>0</v>
      </c>
      <c r="H32" s="15"/>
      <c r="I32" s="15"/>
      <c r="J32" s="15"/>
      <c r="K32" s="31"/>
      <c r="L32" s="61"/>
      <c r="M32" s="49"/>
      <c r="P32" s="67">
        <v>90</v>
      </c>
    </row>
    <row r="33" spans="3:16" s="60" customFormat="1" ht="12.75" x14ac:dyDescent="0.2">
      <c r="C33" s="9"/>
      <c r="D33" s="10" t="s">
        <v>43</v>
      </c>
      <c r="E33" s="32" t="s">
        <v>44</v>
      </c>
      <c r="F33" s="12" t="s">
        <v>45</v>
      </c>
      <c r="G33" s="13">
        <f t="shared" si="0"/>
        <v>0</v>
      </c>
      <c r="H33" s="15"/>
      <c r="I33" s="15"/>
      <c r="J33" s="15"/>
      <c r="K33" s="15"/>
      <c r="L33" s="61"/>
      <c r="M33" s="49"/>
      <c r="P33" s="67"/>
    </row>
    <row r="34" spans="3:16" s="60" customFormat="1" ht="12.75" x14ac:dyDescent="0.2">
      <c r="C34" s="9"/>
      <c r="D34" s="10" t="s">
        <v>46</v>
      </c>
      <c r="E34" s="11" t="s">
        <v>47</v>
      </c>
      <c r="F34" s="33" t="s">
        <v>48</v>
      </c>
      <c r="G34" s="13">
        <f t="shared" si="0"/>
        <v>7262.6999999999989</v>
      </c>
      <c r="H34" s="13">
        <f>H35+H37+H40+H44</f>
        <v>0</v>
      </c>
      <c r="I34" s="13">
        <f>I35+I37+I40+I44</f>
        <v>4043.3119999999999</v>
      </c>
      <c r="J34" s="13">
        <f>J35+J37+J40+J44</f>
        <v>1934.0419999999999</v>
      </c>
      <c r="K34" s="13">
        <f>K35+K37+K40+K44</f>
        <v>1285.346</v>
      </c>
      <c r="L34" s="61"/>
      <c r="M34" s="49"/>
      <c r="P34" s="67">
        <v>100</v>
      </c>
    </row>
    <row r="35" spans="3:16" s="60" customFormat="1" ht="22.5" x14ac:dyDescent="0.2">
      <c r="C35" s="9"/>
      <c r="D35" s="10" t="s">
        <v>49</v>
      </c>
      <c r="E35" s="14" t="s">
        <v>50</v>
      </c>
      <c r="F35" s="12" t="s">
        <v>51</v>
      </c>
      <c r="G35" s="13">
        <f t="shared" si="0"/>
        <v>0</v>
      </c>
      <c r="H35" s="15"/>
      <c r="I35" s="15"/>
      <c r="J35" s="15"/>
      <c r="K35" s="15"/>
      <c r="L35" s="61"/>
      <c r="M35" s="49"/>
      <c r="P35" s="67"/>
    </row>
    <row r="36" spans="3:16" s="60" customFormat="1" ht="12.75" x14ac:dyDescent="0.2">
      <c r="C36" s="9"/>
      <c r="D36" s="10" t="s">
        <v>52</v>
      </c>
      <c r="E36" s="34" t="s">
        <v>53</v>
      </c>
      <c r="F36" s="12" t="s">
        <v>54</v>
      </c>
      <c r="G36" s="13">
        <f t="shared" si="0"/>
        <v>0</v>
      </c>
      <c r="H36" s="15"/>
      <c r="I36" s="15"/>
      <c r="J36" s="15"/>
      <c r="K36" s="15"/>
      <c r="L36" s="61"/>
      <c r="M36" s="49"/>
      <c r="P36" s="67"/>
    </row>
    <row r="37" spans="3:16" s="60" customFormat="1" ht="12.75" x14ac:dyDescent="0.2">
      <c r="C37" s="9"/>
      <c r="D37" s="10" t="s">
        <v>55</v>
      </c>
      <c r="E37" s="14" t="s">
        <v>56</v>
      </c>
      <c r="F37" s="12" t="s">
        <v>57</v>
      </c>
      <c r="G37" s="13">
        <f t="shared" si="0"/>
        <v>3993.915</v>
      </c>
      <c r="H37" s="15">
        <v>0</v>
      </c>
      <c r="I37" s="15">
        <f>4043.312-I42</f>
        <v>774.52700000000004</v>
      </c>
      <c r="J37" s="15">
        <v>1934.0419999999999</v>
      </c>
      <c r="K37" s="15">
        <v>1285.346</v>
      </c>
      <c r="L37" s="61"/>
      <c r="M37" s="49"/>
      <c r="P37" s="67"/>
    </row>
    <row r="38" spans="3:16" s="60" customFormat="1" ht="12.75" x14ac:dyDescent="0.2">
      <c r="C38" s="9"/>
      <c r="D38" s="10" t="s">
        <v>58</v>
      </c>
      <c r="E38" s="34" t="s">
        <v>59</v>
      </c>
      <c r="F38" s="12" t="s">
        <v>60</v>
      </c>
      <c r="G38" s="13">
        <f t="shared" si="0"/>
        <v>0</v>
      </c>
      <c r="H38" s="15"/>
      <c r="I38" s="15"/>
      <c r="J38" s="15"/>
      <c r="K38" s="15"/>
      <c r="L38" s="61"/>
      <c r="M38" s="49"/>
      <c r="P38" s="67"/>
    </row>
    <row r="39" spans="3:16" s="60" customFormat="1" ht="12.75" x14ac:dyDescent="0.2">
      <c r="C39" s="9"/>
      <c r="D39" s="10" t="s">
        <v>61</v>
      </c>
      <c r="E39" s="35" t="s">
        <v>53</v>
      </c>
      <c r="F39" s="12" t="s">
        <v>62</v>
      </c>
      <c r="G39" s="13">
        <f t="shared" si="0"/>
        <v>0</v>
      </c>
      <c r="H39" s="15"/>
      <c r="I39" s="15"/>
      <c r="J39" s="15"/>
      <c r="K39" s="15"/>
      <c r="L39" s="61"/>
      <c r="M39" s="49"/>
      <c r="P39" s="67"/>
    </row>
    <row r="40" spans="3:16" s="60" customFormat="1" ht="12.75" x14ac:dyDescent="0.2">
      <c r="C40" s="9"/>
      <c r="D40" s="10" t="s">
        <v>63</v>
      </c>
      <c r="E40" s="14" t="s">
        <v>64</v>
      </c>
      <c r="F40" s="12" t="s">
        <v>65</v>
      </c>
      <c r="G40" s="13">
        <f t="shared" si="0"/>
        <v>3268.7849999999999</v>
      </c>
      <c r="H40" s="13">
        <f>SUM(H41:H43)</f>
        <v>0</v>
      </c>
      <c r="I40" s="13">
        <f>SUM(I41:I43)</f>
        <v>3268.7849999999999</v>
      </c>
      <c r="J40" s="13">
        <f>SUM(J41:J43)</f>
        <v>0</v>
      </c>
      <c r="K40" s="13">
        <f>SUM(K41:K43)</f>
        <v>0</v>
      </c>
      <c r="L40" s="61"/>
      <c r="M40" s="49"/>
      <c r="P40" s="67"/>
    </row>
    <row r="41" spans="3:16" s="60" customFormat="1" ht="12.75" x14ac:dyDescent="0.2">
      <c r="C41" s="9"/>
      <c r="D41" s="16" t="s">
        <v>66</v>
      </c>
      <c r="E41" s="17"/>
      <c r="F41" s="18" t="s">
        <v>65</v>
      </c>
      <c r="G41" s="19"/>
      <c r="H41" s="19"/>
      <c r="I41" s="19"/>
      <c r="J41" s="19"/>
      <c r="K41" s="19"/>
      <c r="L41" s="61"/>
      <c r="M41" s="49"/>
      <c r="P41" s="67"/>
    </row>
    <row r="42" spans="3:16" s="60" customFormat="1" ht="15" x14ac:dyDescent="0.25">
      <c r="C42" s="24" t="s">
        <v>29</v>
      </c>
      <c r="D42" s="25" t="s">
        <v>67</v>
      </c>
      <c r="E42" s="26" t="s">
        <v>68</v>
      </c>
      <c r="F42" s="27">
        <v>751</v>
      </c>
      <c r="G42" s="28">
        <f>SUM(H42:K42)</f>
        <v>3268.7849999999999</v>
      </c>
      <c r="H42" s="29"/>
      <c r="I42" s="29">
        <v>3268.7849999999999</v>
      </c>
      <c r="J42" s="29"/>
      <c r="K42" s="30"/>
      <c r="L42" s="61"/>
      <c r="M42" s="69" t="s">
        <v>330</v>
      </c>
      <c r="N42" s="70" t="s">
        <v>331</v>
      </c>
      <c r="O42" s="70" t="s">
        <v>332</v>
      </c>
    </row>
    <row r="43" spans="3:16" s="60" customFormat="1" ht="12.75" x14ac:dyDescent="0.2">
      <c r="C43" s="9"/>
      <c r="D43" s="36"/>
      <c r="E43" s="21" t="s">
        <v>20</v>
      </c>
      <c r="F43" s="22"/>
      <c r="G43" s="22"/>
      <c r="H43" s="22"/>
      <c r="I43" s="22"/>
      <c r="J43" s="22"/>
      <c r="K43" s="23"/>
      <c r="L43" s="61"/>
      <c r="M43" s="49"/>
      <c r="P43" s="67"/>
    </row>
    <row r="44" spans="3:16" s="60" customFormat="1" ht="12.75" x14ac:dyDescent="0.2">
      <c r="C44" s="9"/>
      <c r="D44" s="10" t="s">
        <v>69</v>
      </c>
      <c r="E44" s="37" t="s">
        <v>70</v>
      </c>
      <c r="F44" s="12" t="s">
        <v>71</v>
      </c>
      <c r="G44" s="13">
        <f t="shared" si="0"/>
        <v>0</v>
      </c>
      <c r="H44" s="15"/>
      <c r="I44" s="15"/>
      <c r="J44" s="15"/>
      <c r="K44" s="15"/>
      <c r="L44" s="61"/>
      <c r="M44" s="49"/>
      <c r="P44" s="67">
        <v>120</v>
      </c>
    </row>
    <row r="45" spans="3:16" s="60" customFormat="1" ht="12.75" x14ac:dyDescent="0.2">
      <c r="C45" s="9"/>
      <c r="D45" s="10" t="s">
        <v>72</v>
      </c>
      <c r="E45" s="11" t="s">
        <v>73</v>
      </c>
      <c r="F45" s="12" t="s">
        <v>74</v>
      </c>
      <c r="G45" s="13">
        <f t="shared" si="0"/>
        <v>3739.2970000000023</v>
      </c>
      <c r="H45" s="15">
        <f>H25-H48-H34</f>
        <v>1063.5630000000001</v>
      </c>
      <c r="I45" s="15">
        <f>I15-I34-I48</f>
        <v>1285.5560000000003</v>
      </c>
      <c r="J45" s="15">
        <f>J23+J28+J17-J34-J48</f>
        <v>1390.1780000000008</v>
      </c>
      <c r="K45" s="15">
        <f>K31-K34-K48</f>
        <v>7.9580786405131221E-13</v>
      </c>
      <c r="L45" s="61"/>
      <c r="M45" s="49"/>
      <c r="P45" s="67">
        <v>150</v>
      </c>
    </row>
    <row r="46" spans="3:16" s="60" customFormat="1" ht="12.75" x14ac:dyDescent="0.2">
      <c r="C46" s="9"/>
      <c r="D46" s="10" t="s">
        <v>75</v>
      </c>
      <c r="E46" s="11" t="s">
        <v>76</v>
      </c>
      <c r="F46" s="12" t="s">
        <v>77</v>
      </c>
      <c r="G46" s="13">
        <f t="shared" si="0"/>
        <v>0</v>
      </c>
      <c r="H46" s="15"/>
      <c r="I46" s="15"/>
      <c r="J46" s="15"/>
      <c r="K46" s="15"/>
      <c r="L46" s="61"/>
      <c r="M46" s="49"/>
      <c r="P46" s="67">
        <v>160</v>
      </c>
    </row>
    <row r="47" spans="3:16" s="60" customFormat="1" ht="12.75" x14ac:dyDescent="0.2">
      <c r="C47" s="9"/>
      <c r="D47" s="10" t="s">
        <v>78</v>
      </c>
      <c r="E47" s="11" t="s">
        <v>79</v>
      </c>
      <c r="F47" s="12" t="s">
        <v>80</v>
      </c>
      <c r="G47" s="13">
        <f t="shared" si="0"/>
        <v>0</v>
      </c>
      <c r="H47" s="15"/>
      <c r="I47" s="15"/>
      <c r="J47" s="15"/>
      <c r="K47" s="15"/>
      <c r="L47" s="61"/>
      <c r="M47" s="49"/>
      <c r="P47" s="67">
        <v>180</v>
      </c>
    </row>
    <row r="48" spans="3:16" s="60" customFormat="1" ht="12.75" x14ac:dyDescent="0.2">
      <c r="C48" s="9"/>
      <c r="D48" s="10" t="s">
        <v>81</v>
      </c>
      <c r="E48" s="11" t="s">
        <v>82</v>
      </c>
      <c r="F48" s="12" t="s">
        <v>83</v>
      </c>
      <c r="G48" s="13">
        <f t="shared" si="0"/>
        <v>286.96299999999997</v>
      </c>
      <c r="H48" s="15">
        <v>0.67500000000000004</v>
      </c>
      <c r="I48" s="15">
        <v>101.021</v>
      </c>
      <c r="J48" s="15">
        <v>80.435000000000002</v>
      </c>
      <c r="K48" s="15">
        <v>104.83199999999999</v>
      </c>
      <c r="L48" s="61"/>
      <c r="M48" s="49"/>
      <c r="P48" s="67">
        <v>190</v>
      </c>
    </row>
    <row r="49" spans="3:16" s="60" customFormat="1" ht="12.75" x14ac:dyDescent="0.2">
      <c r="C49" s="9"/>
      <c r="D49" s="10" t="s">
        <v>84</v>
      </c>
      <c r="E49" s="14" t="s">
        <v>85</v>
      </c>
      <c r="F49" s="12" t="s">
        <v>86</v>
      </c>
      <c r="G49" s="13">
        <f t="shared" si="0"/>
        <v>0</v>
      </c>
      <c r="H49" s="15"/>
      <c r="I49" s="15"/>
      <c r="J49" s="15"/>
      <c r="K49" s="15"/>
      <c r="L49" s="61"/>
      <c r="M49" s="49"/>
      <c r="P49" s="67">
        <v>200</v>
      </c>
    </row>
    <row r="50" spans="3:16" s="60" customFormat="1" ht="22.5" x14ac:dyDescent="0.2">
      <c r="C50" s="9"/>
      <c r="D50" s="10" t="s">
        <v>87</v>
      </c>
      <c r="E50" s="11" t="s">
        <v>88</v>
      </c>
      <c r="F50" s="12" t="s">
        <v>89</v>
      </c>
      <c r="G50" s="13">
        <f t="shared" si="0"/>
        <v>154.851</v>
      </c>
      <c r="H50" s="15"/>
      <c r="I50" s="15">
        <f>154.851*0.2468</f>
        <v>38.217226799999999</v>
      </c>
      <c r="J50" s="15">
        <f>154.851*0.3291</f>
        <v>50.961464100000001</v>
      </c>
      <c r="K50" s="15">
        <f>154.851*0.4241</f>
        <v>65.672309099999993</v>
      </c>
      <c r="L50" s="61"/>
      <c r="M50" s="49"/>
      <c r="P50" s="68"/>
    </row>
    <row r="51" spans="3:16" s="60" customFormat="1" ht="33.75" x14ac:dyDescent="0.2">
      <c r="C51" s="9"/>
      <c r="D51" s="10" t="s">
        <v>90</v>
      </c>
      <c r="E51" s="32" t="s">
        <v>91</v>
      </c>
      <c r="F51" s="12" t="s">
        <v>92</v>
      </c>
      <c r="G51" s="13">
        <f t="shared" si="0"/>
        <v>132.11200000000002</v>
      </c>
      <c r="H51" s="13">
        <f>H48-H50</f>
        <v>0.67500000000000004</v>
      </c>
      <c r="I51" s="13">
        <f>I48-I50</f>
        <v>62.803773200000002</v>
      </c>
      <c r="J51" s="13">
        <f>J48-J50</f>
        <v>29.473535900000002</v>
      </c>
      <c r="K51" s="13">
        <f>K48-K50</f>
        <v>39.159690900000001</v>
      </c>
      <c r="L51" s="61"/>
      <c r="M51" s="49"/>
      <c r="P51" s="68"/>
    </row>
    <row r="52" spans="3:16" s="60" customFormat="1" ht="12.75" x14ac:dyDescent="0.2">
      <c r="C52" s="9"/>
      <c r="D52" s="10" t="s">
        <v>93</v>
      </c>
      <c r="E52" s="11" t="s">
        <v>94</v>
      </c>
      <c r="F52" s="12" t="s">
        <v>95</v>
      </c>
      <c r="G52" s="13">
        <f t="shared" si="0"/>
        <v>0</v>
      </c>
      <c r="H52" s="13">
        <f>(H15+H28+H33)-(H34+H45+H46+H47+H48)</f>
        <v>0</v>
      </c>
      <c r="I52" s="13">
        <f>(I15+I28+I33)-(I34+I45+I46+I47+I48)</f>
        <v>0</v>
      </c>
      <c r="J52" s="13">
        <f>(J15+J28+J33)-(J34+J45+J46+J47+J48)</f>
        <v>0</v>
      </c>
      <c r="K52" s="13">
        <f>(K15+K28+K33)-(K34+K45+K46+K47+K48)</f>
        <v>0</v>
      </c>
      <c r="L52" s="61"/>
      <c r="M52" s="49"/>
      <c r="P52" s="67">
        <v>210</v>
      </c>
    </row>
    <row r="53" spans="3:16" s="60" customFormat="1" ht="12.75" x14ac:dyDescent="0.2">
      <c r="C53" s="9"/>
      <c r="D53" s="99" t="s">
        <v>96</v>
      </c>
      <c r="E53" s="100"/>
      <c r="F53" s="100"/>
      <c r="G53" s="100"/>
      <c r="H53" s="100"/>
      <c r="I53" s="100"/>
      <c r="J53" s="100"/>
      <c r="K53" s="101"/>
      <c r="L53" s="61"/>
      <c r="M53" s="49"/>
      <c r="P53" s="68"/>
    </row>
    <row r="54" spans="3:16" s="60" customFormat="1" ht="12.75" x14ac:dyDescent="0.2">
      <c r="C54" s="9"/>
      <c r="D54" s="10" t="s">
        <v>97</v>
      </c>
      <c r="E54" s="11" t="s">
        <v>13</v>
      </c>
      <c r="F54" s="12" t="s">
        <v>98</v>
      </c>
      <c r="G54" s="13">
        <f t="shared" si="0"/>
        <v>10.147396505376346</v>
      </c>
      <c r="H54" s="13">
        <f>H55+H56+H59+H62</f>
        <v>1.4304274193548387</v>
      </c>
      <c r="I54" s="13">
        <f>I55+I56+I59+I62</f>
        <v>7.2982379032258065</v>
      </c>
      <c r="J54" s="13">
        <f>J55+J56+J59+J62</f>
        <v>1.4187311827956988</v>
      </c>
      <c r="K54" s="13">
        <f>K55+K56+K59+K62</f>
        <v>0</v>
      </c>
      <c r="L54" s="61"/>
      <c r="M54" s="49"/>
      <c r="P54" s="67">
        <v>300</v>
      </c>
    </row>
    <row r="55" spans="3:16" s="60" customFormat="1" ht="12.75" x14ac:dyDescent="0.2">
      <c r="C55" s="9"/>
      <c r="D55" s="10" t="s">
        <v>99</v>
      </c>
      <c r="E55" s="14" t="s">
        <v>15</v>
      </c>
      <c r="F55" s="12" t="s">
        <v>100</v>
      </c>
      <c r="G55" s="13">
        <f t="shared" si="0"/>
        <v>0</v>
      </c>
      <c r="H55" s="15"/>
      <c r="I55" s="15"/>
      <c r="J55" s="15"/>
      <c r="K55" s="15"/>
      <c r="L55" s="61"/>
      <c r="M55" s="49"/>
      <c r="P55" s="67">
        <v>310</v>
      </c>
    </row>
    <row r="56" spans="3:16" s="60" customFormat="1" ht="12.75" x14ac:dyDescent="0.2">
      <c r="C56" s="9"/>
      <c r="D56" s="10" t="s">
        <v>101</v>
      </c>
      <c r="E56" s="14" t="s">
        <v>17</v>
      </c>
      <c r="F56" s="12" t="s">
        <v>102</v>
      </c>
      <c r="G56" s="13">
        <f t="shared" si="0"/>
        <v>0</v>
      </c>
      <c r="H56" s="13">
        <f>SUM(H57:H58)</f>
        <v>0</v>
      </c>
      <c r="I56" s="13">
        <f>SUM(I57:I58)</f>
        <v>0</v>
      </c>
      <c r="J56" s="13">
        <f>SUM(J57:J58)</f>
        <v>0</v>
      </c>
      <c r="K56" s="13">
        <f>SUM(K57:K58)</f>
        <v>0</v>
      </c>
      <c r="L56" s="61"/>
      <c r="M56" s="49"/>
      <c r="P56" s="67">
        <v>320</v>
      </c>
    </row>
    <row r="57" spans="3:16" s="60" customFormat="1" ht="12.75" x14ac:dyDescent="0.2">
      <c r="C57" s="9"/>
      <c r="D57" s="16" t="s">
        <v>103</v>
      </c>
      <c r="E57" s="17"/>
      <c r="F57" s="18" t="s">
        <v>102</v>
      </c>
      <c r="G57" s="19"/>
      <c r="H57" s="19"/>
      <c r="I57" s="19"/>
      <c r="J57" s="19"/>
      <c r="K57" s="19"/>
      <c r="L57" s="61"/>
      <c r="M57" s="49"/>
      <c r="P57" s="67"/>
    </row>
    <row r="58" spans="3:16" s="60" customFormat="1" ht="12.75" x14ac:dyDescent="0.2">
      <c r="C58" s="9"/>
      <c r="D58" s="20"/>
      <c r="E58" s="21" t="s">
        <v>20</v>
      </c>
      <c r="F58" s="22"/>
      <c r="G58" s="22"/>
      <c r="H58" s="22"/>
      <c r="I58" s="22"/>
      <c r="J58" s="22"/>
      <c r="K58" s="23"/>
      <c r="L58" s="61"/>
      <c r="M58" s="49"/>
      <c r="P58" s="67"/>
    </row>
    <row r="59" spans="3:16" s="60" customFormat="1" ht="12.75" x14ac:dyDescent="0.2">
      <c r="C59" s="9"/>
      <c r="D59" s="10" t="s">
        <v>104</v>
      </c>
      <c r="E59" s="14" t="s">
        <v>22</v>
      </c>
      <c r="F59" s="12" t="s">
        <v>105</v>
      </c>
      <c r="G59" s="13">
        <f t="shared" si="0"/>
        <v>0</v>
      </c>
      <c r="H59" s="13">
        <f>SUM(H60:H61)</f>
        <v>0</v>
      </c>
      <c r="I59" s="13">
        <f>SUM(I60:I61)</f>
        <v>0</v>
      </c>
      <c r="J59" s="13">
        <f>SUM(J60:J61)</f>
        <v>0</v>
      </c>
      <c r="K59" s="13">
        <f>SUM(K60:K61)</f>
        <v>0</v>
      </c>
      <c r="L59" s="61"/>
      <c r="M59" s="49"/>
      <c r="P59" s="67"/>
    </row>
    <row r="60" spans="3:16" s="60" customFormat="1" ht="12.75" x14ac:dyDescent="0.2">
      <c r="C60" s="9"/>
      <c r="D60" s="16" t="s">
        <v>106</v>
      </c>
      <c r="E60" s="17"/>
      <c r="F60" s="18" t="s">
        <v>105</v>
      </c>
      <c r="G60" s="19"/>
      <c r="H60" s="19"/>
      <c r="I60" s="19"/>
      <c r="J60" s="19"/>
      <c r="K60" s="19"/>
      <c r="L60" s="61"/>
      <c r="M60" s="49"/>
      <c r="P60" s="67"/>
    </row>
    <row r="61" spans="3:16" s="60" customFormat="1" ht="12.75" x14ac:dyDescent="0.2">
      <c r="C61" s="9"/>
      <c r="D61" s="20"/>
      <c r="E61" s="21" t="s">
        <v>20</v>
      </c>
      <c r="F61" s="22"/>
      <c r="G61" s="22"/>
      <c r="H61" s="22"/>
      <c r="I61" s="22"/>
      <c r="J61" s="22"/>
      <c r="K61" s="23"/>
      <c r="L61" s="61"/>
      <c r="M61" s="49"/>
      <c r="P61" s="67"/>
    </row>
    <row r="62" spans="3:16" s="60" customFormat="1" ht="12.75" x14ac:dyDescent="0.2">
      <c r="C62" s="9"/>
      <c r="D62" s="10" t="s">
        <v>107</v>
      </c>
      <c r="E62" s="14" t="s">
        <v>26</v>
      </c>
      <c r="F62" s="12" t="s">
        <v>108</v>
      </c>
      <c r="G62" s="13">
        <f t="shared" si="0"/>
        <v>10.147396505376346</v>
      </c>
      <c r="H62" s="13">
        <f>SUM(H63:H66)</f>
        <v>1.4304274193548387</v>
      </c>
      <c r="I62" s="13">
        <f>SUM(I63:I66)</f>
        <v>7.2982379032258065</v>
      </c>
      <c r="J62" s="13">
        <f>SUM(J63:J66)</f>
        <v>1.4187311827956988</v>
      </c>
      <c r="K62" s="13">
        <f>SUM(K63:K66)</f>
        <v>0</v>
      </c>
      <c r="L62" s="61"/>
      <c r="M62" s="49"/>
      <c r="P62" s="67">
        <v>330</v>
      </c>
    </row>
    <row r="63" spans="3:16" s="60" customFormat="1" ht="12.75" x14ac:dyDescent="0.2">
      <c r="C63" s="9"/>
      <c r="D63" s="16" t="s">
        <v>109</v>
      </c>
      <c r="E63" s="17"/>
      <c r="F63" s="18" t="s">
        <v>108</v>
      </c>
      <c r="G63" s="19"/>
      <c r="H63" s="19"/>
      <c r="I63" s="19"/>
      <c r="J63" s="19"/>
      <c r="K63" s="19"/>
      <c r="L63" s="61"/>
      <c r="M63" s="49"/>
      <c r="P63" s="67"/>
    </row>
    <row r="64" spans="3:16" s="60" customFormat="1" ht="15" x14ac:dyDescent="0.25">
      <c r="C64" s="24" t="s">
        <v>29</v>
      </c>
      <c r="D64" s="25" t="s">
        <v>110</v>
      </c>
      <c r="E64" s="26" t="s">
        <v>344</v>
      </c>
      <c r="F64" s="27">
        <v>1461</v>
      </c>
      <c r="G64" s="28">
        <f>SUM(H64:K64)</f>
        <v>9.4748319892473134</v>
      </c>
      <c r="H64" s="29">
        <f>H25/744</f>
        <v>1.4304274193548387</v>
      </c>
      <c r="I64" s="29">
        <f>I25/744</f>
        <v>7.2982379032258065</v>
      </c>
      <c r="J64" s="29">
        <f>J25/744</f>
        <v>0.74616666666666664</v>
      </c>
      <c r="K64" s="29"/>
      <c r="L64" s="61"/>
      <c r="M64" s="69" t="s">
        <v>327</v>
      </c>
      <c r="N64" s="70" t="s">
        <v>328</v>
      </c>
      <c r="O64" s="70" t="s">
        <v>329</v>
      </c>
    </row>
    <row r="65" spans="3:16" s="60" customFormat="1" ht="15" x14ac:dyDescent="0.25">
      <c r="C65" s="24" t="s">
        <v>29</v>
      </c>
      <c r="D65" s="25" t="s">
        <v>343</v>
      </c>
      <c r="E65" s="26" t="s">
        <v>68</v>
      </c>
      <c r="F65" s="27">
        <v>1462</v>
      </c>
      <c r="G65" s="28">
        <f>SUM(H65:K65)</f>
        <v>0.67256451612903223</v>
      </c>
      <c r="H65" s="29"/>
      <c r="I65" s="29"/>
      <c r="J65" s="29">
        <f>J26/744</f>
        <v>0.67256451612903223</v>
      </c>
      <c r="K65" s="30"/>
      <c r="L65" s="61"/>
      <c r="M65" s="69" t="s">
        <v>330</v>
      </c>
      <c r="N65" s="70" t="s">
        <v>328</v>
      </c>
      <c r="O65" s="70" t="s">
        <v>332</v>
      </c>
    </row>
    <row r="66" spans="3:16" s="60" customFormat="1" ht="12.75" x14ac:dyDescent="0.2">
      <c r="C66" s="9"/>
      <c r="D66" s="20"/>
      <c r="E66" s="21" t="s">
        <v>20</v>
      </c>
      <c r="F66" s="22"/>
      <c r="G66" s="22"/>
      <c r="H66" s="22"/>
      <c r="I66" s="22"/>
      <c r="J66" s="22"/>
      <c r="K66" s="23"/>
      <c r="L66" s="61"/>
      <c r="M66" s="49"/>
      <c r="P66" s="67"/>
    </row>
    <row r="67" spans="3:16" s="60" customFormat="1" ht="12.75" x14ac:dyDescent="0.2">
      <c r="C67" s="9"/>
      <c r="D67" s="10" t="s">
        <v>111</v>
      </c>
      <c r="E67" s="11" t="s">
        <v>32</v>
      </c>
      <c r="F67" s="12" t="s">
        <v>112</v>
      </c>
      <c r="G67" s="13">
        <f t="shared" si="0"/>
        <v>5.0259368279569907</v>
      </c>
      <c r="H67" s="13">
        <f>H69+H70+H71</f>
        <v>0</v>
      </c>
      <c r="I67" s="13">
        <f>I68+I70+I71</f>
        <v>0</v>
      </c>
      <c r="J67" s="13">
        <f>J68+J69+J71</f>
        <v>3.1574180107526888</v>
      </c>
      <c r="K67" s="13">
        <f>K68+K69+K70</f>
        <v>1.8685188172043021</v>
      </c>
      <c r="L67" s="61"/>
      <c r="M67" s="49"/>
      <c r="P67" s="67">
        <v>340</v>
      </c>
    </row>
    <row r="68" spans="3:16" s="60" customFormat="1" ht="12.75" x14ac:dyDescent="0.2">
      <c r="C68" s="9"/>
      <c r="D68" s="10" t="s">
        <v>113</v>
      </c>
      <c r="E68" s="14" t="s">
        <v>7</v>
      </c>
      <c r="F68" s="12" t="s">
        <v>114</v>
      </c>
      <c r="G68" s="13">
        <f t="shared" si="0"/>
        <v>1.4295201612903228</v>
      </c>
      <c r="H68" s="31"/>
      <c r="I68" s="15"/>
      <c r="J68" s="15">
        <f>J29/744</f>
        <v>1.4295201612903228</v>
      </c>
      <c r="K68" s="15"/>
      <c r="L68" s="61"/>
      <c r="M68" s="49"/>
      <c r="P68" s="67">
        <v>350</v>
      </c>
    </row>
    <row r="69" spans="3:16" s="60" customFormat="1" ht="12.75" x14ac:dyDescent="0.2">
      <c r="C69" s="9"/>
      <c r="D69" s="10" t="s">
        <v>115</v>
      </c>
      <c r="E69" s="14" t="s">
        <v>8</v>
      </c>
      <c r="F69" s="12" t="s">
        <v>116</v>
      </c>
      <c r="G69" s="13">
        <f t="shared" si="0"/>
        <v>1.727897849462366</v>
      </c>
      <c r="H69" s="15"/>
      <c r="I69" s="38"/>
      <c r="J69" s="15">
        <f>J30/744</f>
        <v>1.727897849462366</v>
      </c>
      <c r="K69" s="15"/>
      <c r="L69" s="61"/>
      <c r="M69" s="49"/>
      <c r="P69" s="67">
        <v>360</v>
      </c>
    </row>
    <row r="70" spans="3:16" s="60" customFormat="1" ht="12.75" x14ac:dyDescent="0.2">
      <c r="C70" s="9"/>
      <c r="D70" s="10" t="s">
        <v>117</v>
      </c>
      <c r="E70" s="14" t="s">
        <v>9</v>
      </c>
      <c r="F70" s="12" t="s">
        <v>118</v>
      </c>
      <c r="G70" s="13">
        <f t="shared" si="0"/>
        <v>1.8685188172043021</v>
      </c>
      <c r="H70" s="15"/>
      <c r="I70" s="15"/>
      <c r="J70" s="31"/>
      <c r="K70" s="15">
        <f>K31/744</f>
        <v>1.8685188172043021</v>
      </c>
      <c r="L70" s="61"/>
      <c r="M70" s="49"/>
      <c r="P70" s="67">
        <v>370</v>
      </c>
    </row>
    <row r="71" spans="3:16" s="60" customFormat="1" ht="12.75" x14ac:dyDescent="0.2">
      <c r="C71" s="9"/>
      <c r="D71" s="10" t="s">
        <v>119</v>
      </c>
      <c r="E71" s="14" t="s">
        <v>41</v>
      </c>
      <c r="F71" s="12" t="s">
        <v>120</v>
      </c>
      <c r="G71" s="13">
        <f t="shared" si="0"/>
        <v>0</v>
      </c>
      <c r="H71" s="15"/>
      <c r="I71" s="15"/>
      <c r="J71" s="15"/>
      <c r="K71" s="31"/>
      <c r="L71" s="61"/>
      <c r="M71" s="49"/>
      <c r="P71" s="67">
        <v>380</v>
      </c>
    </row>
    <row r="72" spans="3:16" s="60" customFormat="1" ht="12.75" x14ac:dyDescent="0.2">
      <c r="C72" s="9"/>
      <c r="D72" s="10" t="s">
        <v>121</v>
      </c>
      <c r="E72" s="32" t="s">
        <v>44</v>
      </c>
      <c r="F72" s="12" t="s">
        <v>122</v>
      </c>
      <c r="G72" s="13">
        <f t="shared" si="0"/>
        <v>0</v>
      </c>
      <c r="H72" s="15"/>
      <c r="I72" s="15"/>
      <c r="J72" s="15"/>
      <c r="K72" s="15"/>
      <c r="L72" s="61"/>
      <c r="M72" s="49"/>
      <c r="P72" s="67"/>
    </row>
    <row r="73" spans="3:16" s="60" customFormat="1" ht="12.75" x14ac:dyDescent="0.2">
      <c r="C73" s="9"/>
      <c r="D73" s="10" t="s">
        <v>123</v>
      </c>
      <c r="E73" s="11" t="s">
        <v>47</v>
      </c>
      <c r="F73" s="33" t="s">
        <v>124</v>
      </c>
      <c r="G73" s="13">
        <f t="shared" si="0"/>
        <v>9.7616935483870968</v>
      </c>
      <c r="H73" s="13">
        <f>H74+H76+H79+H83</f>
        <v>0</v>
      </c>
      <c r="I73" s="13">
        <f>I74+I76+I79+I83</f>
        <v>5.4345591397849464</v>
      </c>
      <c r="J73" s="13">
        <f>J74+J76+J79+J83</f>
        <v>2.5995188172043009</v>
      </c>
      <c r="K73" s="13">
        <f>K74+K76+K79+K83</f>
        <v>1.7276155913978495</v>
      </c>
      <c r="L73" s="61"/>
      <c r="M73" s="49"/>
      <c r="P73" s="67">
        <v>390</v>
      </c>
    </row>
    <row r="74" spans="3:16" s="60" customFormat="1" ht="22.5" x14ac:dyDescent="0.2">
      <c r="C74" s="9"/>
      <c r="D74" s="10" t="s">
        <v>125</v>
      </c>
      <c r="E74" s="14" t="s">
        <v>50</v>
      </c>
      <c r="F74" s="12" t="s">
        <v>126</v>
      </c>
      <c r="G74" s="13">
        <f t="shared" si="0"/>
        <v>0</v>
      </c>
      <c r="H74" s="15"/>
      <c r="I74" s="15"/>
      <c r="J74" s="15"/>
      <c r="K74" s="15"/>
      <c r="L74" s="61"/>
      <c r="M74" s="49"/>
      <c r="P74" s="67"/>
    </row>
    <row r="75" spans="3:16" s="60" customFormat="1" ht="12.75" x14ac:dyDescent="0.2">
      <c r="C75" s="9"/>
      <c r="D75" s="10" t="s">
        <v>127</v>
      </c>
      <c r="E75" s="34" t="s">
        <v>53</v>
      </c>
      <c r="F75" s="12" t="s">
        <v>128</v>
      </c>
      <c r="G75" s="13">
        <f t="shared" si="0"/>
        <v>0</v>
      </c>
      <c r="H75" s="15"/>
      <c r="I75" s="15"/>
      <c r="J75" s="15"/>
      <c r="K75" s="15"/>
      <c r="L75" s="61"/>
      <c r="M75" s="49"/>
      <c r="P75" s="67"/>
    </row>
    <row r="76" spans="3:16" s="60" customFormat="1" ht="12.75" x14ac:dyDescent="0.2">
      <c r="C76" s="9"/>
      <c r="D76" s="10" t="s">
        <v>129</v>
      </c>
      <c r="E76" s="14" t="s">
        <v>56</v>
      </c>
      <c r="F76" s="12" t="s">
        <v>130</v>
      </c>
      <c r="G76" s="13">
        <f t="shared" si="0"/>
        <v>5.3681653225806452</v>
      </c>
      <c r="H76" s="15">
        <f>H37/744</f>
        <v>0</v>
      </c>
      <c r="I76" s="15">
        <f>I37/744</f>
        <v>1.0410309139784948</v>
      </c>
      <c r="J76" s="15">
        <f>J37/744</f>
        <v>2.5995188172043009</v>
      </c>
      <c r="K76" s="15">
        <f>K37/744</f>
        <v>1.7276155913978495</v>
      </c>
      <c r="L76" s="61"/>
      <c r="M76" s="49"/>
      <c r="P76" s="67"/>
    </row>
    <row r="77" spans="3:16" s="60" customFormat="1" ht="12.75" x14ac:dyDescent="0.2">
      <c r="C77" s="9"/>
      <c r="D77" s="10" t="s">
        <v>131</v>
      </c>
      <c r="E77" s="34" t="s">
        <v>59</v>
      </c>
      <c r="F77" s="12" t="s">
        <v>132</v>
      </c>
      <c r="G77" s="13">
        <f t="shared" si="0"/>
        <v>0</v>
      </c>
      <c r="H77" s="15"/>
      <c r="I77" s="15"/>
      <c r="J77" s="15"/>
      <c r="K77" s="15"/>
      <c r="L77" s="61"/>
      <c r="M77" s="49"/>
      <c r="P77" s="67"/>
    </row>
    <row r="78" spans="3:16" s="60" customFormat="1" ht="12.75" x14ac:dyDescent="0.2">
      <c r="C78" s="9"/>
      <c r="D78" s="10" t="s">
        <v>133</v>
      </c>
      <c r="E78" s="35" t="s">
        <v>53</v>
      </c>
      <c r="F78" s="12" t="s">
        <v>134</v>
      </c>
      <c r="G78" s="13">
        <f t="shared" si="0"/>
        <v>0</v>
      </c>
      <c r="H78" s="15"/>
      <c r="I78" s="15"/>
      <c r="J78" s="15"/>
      <c r="K78" s="15"/>
      <c r="L78" s="61"/>
      <c r="M78" s="49"/>
      <c r="P78" s="67"/>
    </row>
    <row r="79" spans="3:16" s="60" customFormat="1" ht="12.75" x14ac:dyDescent="0.2">
      <c r="C79" s="9"/>
      <c r="D79" s="10" t="s">
        <v>135</v>
      </c>
      <c r="E79" s="14" t="s">
        <v>64</v>
      </c>
      <c r="F79" s="12" t="s">
        <v>136</v>
      </c>
      <c r="G79" s="13">
        <f t="shared" si="0"/>
        <v>4.3935282258064516</v>
      </c>
      <c r="H79" s="13">
        <f>SUM(H80:H82)</f>
        <v>0</v>
      </c>
      <c r="I79" s="13">
        <f>SUM(I80:I82)</f>
        <v>4.3935282258064516</v>
      </c>
      <c r="J79" s="13">
        <f>SUM(J80:J82)</f>
        <v>0</v>
      </c>
      <c r="K79" s="13">
        <f>SUM(K80:K82)</f>
        <v>0</v>
      </c>
      <c r="L79" s="61"/>
      <c r="M79" s="49"/>
      <c r="P79" s="67"/>
    </row>
    <row r="80" spans="3:16" s="60" customFormat="1" ht="12.75" x14ac:dyDescent="0.2">
      <c r="C80" s="9"/>
      <c r="D80" s="16" t="s">
        <v>137</v>
      </c>
      <c r="E80" s="17"/>
      <c r="F80" s="18" t="s">
        <v>136</v>
      </c>
      <c r="G80" s="19"/>
      <c r="H80" s="19"/>
      <c r="I80" s="19"/>
      <c r="J80" s="19"/>
      <c r="K80" s="19"/>
      <c r="L80" s="61"/>
      <c r="M80" s="49"/>
      <c r="P80" s="67"/>
    </row>
    <row r="81" spans="3:16" s="60" customFormat="1" ht="15" x14ac:dyDescent="0.25">
      <c r="C81" s="24" t="s">
        <v>29</v>
      </c>
      <c r="D81" s="25" t="s">
        <v>138</v>
      </c>
      <c r="E81" s="26" t="s">
        <v>68</v>
      </c>
      <c r="F81" s="27">
        <v>1781</v>
      </c>
      <c r="G81" s="28">
        <f>SUM(H81:K81)</f>
        <v>4.3935282258064516</v>
      </c>
      <c r="H81" s="29"/>
      <c r="I81" s="29">
        <f>I42/744</f>
        <v>4.3935282258064516</v>
      </c>
      <c r="J81" s="29"/>
      <c r="K81" s="30"/>
      <c r="L81" s="61"/>
      <c r="M81" s="69" t="s">
        <v>330</v>
      </c>
      <c r="N81" s="70" t="s">
        <v>331</v>
      </c>
      <c r="O81" s="70" t="s">
        <v>332</v>
      </c>
    </row>
    <row r="82" spans="3:16" s="60" customFormat="1" ht="12.75" x14ac:dyDescent="0.2">
      <c r="C82" s="9"/>
      <c r="D82" s="20"/>
      <c r="E82" s="21" t="s">
        <v>20</v>
      </c>
      <c r="F82" s="22"/>
      <c r="G82" s="22"/>
      <c r="H82" s="22"/>
      <c r="I82" s="22"/>
      <c r="J82" s="22"/>
      <c r="K82" s="23"/>
      <c r="L82" s="61"/>
      <c r="M82" s="49"/>
      <c r="P82" s="67"/>
    </row>
    <row r="83" spans="3:16" s="60" customFormat="1" ht="12.75" x14ac:dyDescent="0.2">
      <c r="C83" s="9"/>
      <c r="D83" s="10" t="s">
        <v>139</v>
      </c>
      <c r="E83" s="37" t="s">
        <v>70</v>
      </c>
      <c r="F83" s="12" t="s">
        <v>140</v>
      </c>
      <c r="G83" s="13">
        <f t="shared" si="0"/>
        <v>0</v>
      </c>
      <c r="H83" s="15"/>
      <c r="I83" s="15"/>
      <c r="J83" s="15"/>
      <c r="K83" s="15"/>
      <c r="L83" s="61"/>
      <c r="M83" s="49"/>
      <c r="P83" s="67">
        <v>410</v>
      </c>
    </row>
    <row r="84" spans="3:16" s="60" customFormat="1" ht="12.75" x14ac:dyDescent="0.2">
      <c r="C84" s="9"/>
      <c r="D84" s="10" t="s">
        <v>141</v>
      </c>
      <c r="E84" s="11" t="s">
        <v>73</v>
      </c>
      <c r="F84" s="12" t="s">
        <v>142</v>
      </c>
      <c r="G84" s="13">
        <f t="shared" si="0"/>
        <v>5.0259368279569916</v>
      </c>
      <c r="H84" s="15">
        <f>H45/744</f>
        <v>1.4295201612903228</v>
      </c>
      <c r="I84" s="15">
        <f>I45/744</f>
        <v>1.727897849462366</v>
      </c>
      <c r="J84" s="15">
        <f>J45/744</f>
        <v>1.8685188172043021</v>
      </c>
      <c r="K84" s="15">
        <f>K45/744</f>
        <v>1.0696342258754197E-15</v>
      </c>
      <c r="L84" s="61"/>
      <c r="M84" s="49"/>
      <c r="P84" s="67">
        <v>440</v>
      </c>
    </row>
    <row r="85" spans="3:16" s="60" customFormat="1" ht="12.75" x14ac:dyDescent="0.2">
      <c r="C85" s="9"/>
      <c r="D85" s="10" t="s">
        <v>143</v>
      </c>
      <c r="E85" s="11" t="s">
        <v>76</v>
      </c>
      <c r="F85" s="12" t="s">
        <v>144</v>
      </c>
      <c r="G85" s="13">
        <f t="shared" si="0"/>
        <v>0</v>
      </c>
      <c r="H85" s="15"/>
      <c r="I85" s="15"/>
      <c r="J85" s="15"/>
      <c r="K85" s="15"/>
      <c r="L85" s="61"/>
      <c r="M85" s="49"/>
      <c r="P85" s="67">
        <v>450</v>
      </c>
    </row>
    <row r="86" spans="3:16" s="60" customFormat="1" ht="12.75" x14ac:dyDescent="0.2">
      <c r="C86" s="9"/>
      <c r="D86" s="10" t="s">
        <v>145</v>
      </c>
      <c r="E86" s="11" t="s">
        <v>79</v>
      </c>
      <c r="F86" s="12" t="s">
        <v>146</v>
      </c>
      <c r="G86" s="13">
        <f t="shared" si="0"/>
        <v>0</v>
      </c>
      <c r="H86" s="15"/>
      <c r="I86" s="15"/>
      <c r="J86" s="15"/>
      <c r="K86" s="15"/>
      <c r="L86" s="61"/>
      <c r="M86" s="49"/>
      <c r="P86" s="67">
        <v>470</v>
      </c>
    </row>
    <row r="87" spans="3:16" s="60" customFormat="1" ht="12.75" x14ac:dyDescent="0.2">
      <c r="C87" s="9"/>
      <c r="D87" s="10" t="s">
        <v>147</v>
      </c>
      <c r="E87" s="11" t="s">
        <v>82</v>
      </c>
      <c r="F87" s="12" t="s">
        <v>148</v>
      </c>
      <c r="G87" s="13">
        <f t="shared" si="0"/>
        <v>0.38570295698924728</v>
      </c>
      <c r="H87" s="15">
        <f>H48/744</f>
        <v>9.0725806451612907E-4</v>
      </c>
      <c r="I87" s="15">
        <f>I48/744</f>
        <v>0.13578091397849462</v>
      </c>
      <c r="J87" s="15">
        <f>J48/744</f>
        <v>0.10811155913978494</v>
      </c>
      <c r="K87" s="15">
        <f>K48/744</f>
        <v>0.14090322580645159</v>
      </c>
      <c r="L87" s="61"/>
      <c r="M87" s="49"/>
      <c r="P87" s="67">
        <v>480</v>
      </c>
    </row>
    <row r="88" spans="3:16" s="60" customFormat="1" ht="12.75" x14ac:dyDescent="0.2">
      <c r="C88" s="9"/>
      <c r="D88" s="10" t="s">
        <v>149</v>
      </c>
      <c r="E88" s="14" t="s">
        <v>150</v>
      </c>
      <c r="F88" s="12" t="s">
        <v>151</v>
      </c>
      <c r="G88" s="13">
        <f t="shared" si="0"/>
        <v>0</v>
      </c>
      <c r="H88" s="15"/>
      <c r="I88" s="15"/>
      <c r="J88" s="15"/>
      <c r="K88" s="15"/>
      <c r="L88" s="61"/>
      <c r="M88" s="49"/>
      <c r="P88" s="67">
        <v>490</v>
      </c>
    </row>
    <row r="89" spans="3:16" s="60" customFormat="1" ht="22.5" x14ac:dyDescent="0.2">
      <c r="C89" s="9"/>
      <c r="D89" s="10" t="s">
        <v>152</v>
      </c>
      <c r="E89" s="11" t="s">
        <v>88</v>
      </c>
      <c r="F89" s="12" t="s">
        <v>153</v>
      </c>
      <c r="G89" s="13">
        <f t="shared" si="0"/>
        <v>0.20813306451612901</v>
      </c>
      <c r="H89" s="15"/>
      <c r="I89" s="15">
        <f>I50/744</f>
        <v>5.1367240322580644E-2</v>
      </c>
      <c r="J89" s="15">
        <f>J50/744</f>
        <v>6.8496591532258067E-2</v>
      </c>
      <c r="K89" s="15">
        <f>K50/744</f>
        <v>8.8269232661290317E-2</v>
      </c>
      <c r="L89" s="61"/>
      <c r="M89" s="49"/>
      <c r="P89" s="67"/>
    </row>
    <row r="90" spans="3:16" s="60" customFormat="1" ht="33.75" x14ac:dyDescent="0.2">
      <c r="C90" s="9"/>
      <c r="D90" s="10" t="s">
        <v>154</v>
      </c>
      <c r="E90" s="32" t="s">
        <v>91</v>
      </c>
      <c r="F90" s="12" t="s">
        <v>155</v>
      </c>
      <c r="G90" s="13">
        <f t="shared" si="0"/>
        <v>0.17756989247311827</v>
      </c>
      <c r="H90" s="13">
        <f>H87-H89</f>
        <v>9.0725806451612907E-4</v>
      </c>
      <c r="I90" s="13">
        <f>I87-I89</f>
        <v>8.4413673655913984E-2</v>
      </c>
      <c r="J90" s="13">
        <f>J87-J89</f>
        <v>3.9614967607526877E-2</v>
      </c>
      <c r="K90" s="13">
        <f>K87-K89</f>
        <v>5.2633993145161276E-2</v>
      </c>
      <c r="L90" s="61"/>
      <c r="M90" s="49"/>
      <c r="P90" s="67"/>
    </row>
    <row r="91" spans="3:16" s="60" customFormat="1" ht="12.75" x14ac:dyDescent="0.2">
      <c r="C91" s="9"/>
      <c r="D91" s="10" t="s">
        <v>156</v>
      </c>
      <c r="E91" s="11" t="s">
        <v>94</v>
      </c>
      <c r="F91" s="12" t="s">
        <v>157</v>
      </c>
      <c r="G91" s="13">
        <f t="shared" si="0"/>
        <v>0</v>
      </c>
      <c r="H91" s="13">
        <f>(H54+H67+H72)-(H73+H84+H85+H86+H87)</f>
        <v>0</v>
      </c>
      <c r="I91" s="13">
        <f>(I54+I67+I72)-(I73+I84+I85+I86+I87)</f>
        <v>0</v>
      </c>
      <c r="J91" s="13">
        <f>(J54+J67+J72)-(J73+J84+J85+J86+J87)</f>
        <v>0</v>
      </c>
      <c r="K91" s="13">
        <f>(K54+K67+K72)-(K73+K84+K85+K86+K87)</f>
        <v>0</v>
      </c>
      <c r="L91" s="61"/>
      <c r="M91" s="49"/>
      <c r="P91" s="67">
        <v>500</v>
      </c>
    </row>
    <row r="92" spans="3:16" s="60" customFormat="1" ht="12.75" x14ac:dyDescent="0.2">
      <c r="C92" s="9"/>
      <c r="D92" s="99" t="s">
        <v>158</v>
      </c>
      <c r="E92" s="100"/>
      <c r="F92" s="100"/>
      <c r="G92" s="100"/>
      <c r="H92" s="100"/>
      <c r="I92" s="100"/>
      <c r="J92" s="100"/>
      <c r="K92" s="101"/>
      <c r="L92" s="61"/>
      <c r="M92" s="49"/>
      <c r="P92" s="68"/>
    </row>
    <row r="93" spans="3:16" s="60" customFormat="1" ht="12.75" x14ac:dyDescent="0.2">
      <c r="C93" s="9"/>
      <c r="D93" s="10" t="s">
        <v>159</v>
      </c>
      <c r="E93" s="11" t="s">
        <v>160</v>
      </c>
      <c r="F93" s="12" t="s">
        <v>161</v>
      </c>
      <c r="G93" s="13">
        <f t="shared" si="0"/>
        <v>0</v>
      </c>
      <c r="H93" s="15"/>
      <c r="I93" s="15"/>
      <c r="J93" s="15"/>
      <c r="K93" s="15"/>
      <c r="L93" s="61"/>
      <c r="M93" s="49"/>
      <c r="P93" s="67">
        <v>600</v>
      </c>
    </row>
    <row r="94" spans="3:16" s="60" customFormat="1" ht="12.75" x14ac:dyDescent="0.2">
      <c r="C94" s="9"/>
      <c r="D94" s="10" t="s">
        <v>162</v>
      </c>
      <c r="E94" s="11" t="s">
        <v>163</v>
      </c>
      <c r="F94" s="12" t="s">
        <v>164</v>
      </c>
      <c r="G94" s="13">
        <f t="shared" si="0"/>
        <v>44.622999999999998</v>
      </c>
      <c r="H94" s="15"/>
      <c r="I94" s="15">
        <v>44.622999999999998</v>
      </c>
      <c r="J94" s="15"/>
      <c r="K94" s="15"/>
      <c r="L94" s="61"/>
      <c r="M94" s="49"/>
      <c r="P94" s="67">
        <v>610</v>
      </c>
    </row>
    <row r="95" spans="3:16" s="60" customFormat="1" ht="12.75" x14ac:dyDescent="0.2">
      <c r="C95" s="9"/>
      <c r="D95" s="10" t="s">
        <v>165</v>
      </c>
      <c r="E95" s="11" t="s">
        <v>166</v>
      </c>
      <c r="F95" s="12" t="s">
        <v>167</v>
      </c>
      <c r="G95" s="13">
        <f t="shared" si="0"/>
        <v>0</v>
      </c>
      <c r="H95" s="15"/>
      <c r="I95" s="15"/>
      <c r="J95" s="15"/>
      <c r="K95" s="15"/>
      <c r="L95" s="61"/>
      <c r="M95" s="49"/>
      <c r="P95" s="67">
        <v>620</v>
      </c>
    </row>
    <row r="96" spans="3:16" s="60" customFormat="1" ht="12.75" x14ac:dyDescent="0.2">
      <c r="C96" s="9"/>
      <c r="D96" s="99" t="s">
        <v>168</v>
      </c>
      <c r="E96" s="100"/>
      <c r="F96" s="100"/>
      <c r="G96" s="100"/>
      <c r="H96" s="100"/>
      <c r="I96" s="100"/>
      <c r="J96" s="100"/>
      <c r="K96" s="101"/>
      <c r="L96" s="61"/>
      <c r="M96" s="49"/>
      <c r="P96" s="68"/>
    </row>
    <row r="97" spans="3:16" s="60" customFormat="1" ht="12.75" x14ac:dyDescent="0.2">
      <c r="C97" s="9"/>
      <c r="D97" s="10" t="s">
        <v>169</v>
      </c>
      <c r="E97" s="11" t="s">
        <v>170</v>
      </c>
      <c r="F97" s="12" t="s">
        <v>171</v>
      </c>
      <c r="G97" s="13">
        <f t="shared" si="0"/>
        <v>0</v>
      </c>
      <c r="H97" s="13">
        <f>SUM(H98:H99)</f>
        <v>0</v>
      </c>
      <c r="I97" s="13">
        <f>SUM(I98:I99)</f>
        <v>0</v>
      </c>
      <c r="J97" s="13">
        <f>SUM(J98:J99)</f>
        <v>0</v>
      </c>
      <c r="K97" s="13">
        <f>SUM(K98:K99)</f>
        <v>0</v>
      </c>
      <c r="L97" s="61"/>
      <c r="M97" s="49"/>
      <c r="P97" s="67">
        <v>700</v>
      </c>
    </row>
    <row r="98" spans="3:16" ht="12.75" x14ac:dyDescent="0.2">
      <c r="C98" s="5"/>
      <c r="D98" s="39" t="s">
        <v>172</v>
      </c>
      <c r="E98" s="14" t="s">
        <v>173</v>
      </c>
      <c r="F98" s="12" t="s">
        <v>174</v>
      </c>
      <c r="G98" s="13">
        <f t="shared" si="0"/>
        <v>0</v>
      </c>
      <c r="H98" s="40"/>
      <c r="I98" s="40"/>
      <c r="J98" s="40"/>
      <c r="K98" s="40"/>
      <c r="L98" s="59"/>
      <c r="M98" s="49"/>
      <c r="P98" s="67">
        <v>710</v>
      </c>
    </row>
    <row r="99" spans="3:16" ht="12.75" x14ac:dyDescent="0.2">
      <c r="C99" s="5"/>
      <c r="D99" s="39" t="s">
        <v>175</v>
      </c>
      <c r="E99" s="14" t="s">
        <v>176</v>
      </c>
      <c r="F99" s="12" t="s">
        <v>177</v>
      </c>
      <c r="G99" s="13">
        <f t="shared" si="0"/>
        <v>0</v>
      </c>
      <c r="H99" s="41">
        <f>H102</f>
        <v>0</v>
      </c>
      <c r="I99" s="41">
        <f>I102</f>
        <v>0</v>
      </c>
      <c r="J99" s="41">
        <f>J102</f>
        <v>0</v>
      </c>
      <c r="K99" s="41">
        <f>K102</f>
        <v>0</v>
      </c>
      <c r="L99" s="59"/>
      <c r="M99" s="49"/>
      <c r="P99" s="67">
        <v>720</v>
      </c>
    </row>
    <row r="100" spans="3:16" ht="12.75" x14ac:dyDescent="0.2">
      <c r="C100" s="5"/>
      <c r="D100" s="39" t="s">
        <v>178</v>
      </c>
      <c r="E100" s="34" t="s">
        <v>179</v>
      </c>
      <c r="F100" s="12" t="s">
        <v>180</v>
      </c>
      <c r="G100" s="13">
        <f t="shared" si="0"/>
        <v>0</v>
      </c>
      <c r="H100" s="40"/>
      <c r="I100" s="40"/>
      <c r="J100" s="40"/>
      <c r="K100" s="40"/>
      <c r="L100" s="59"/>
      <c r="M100" s="49"/>
      <c r="P100" s="67">
        <v>730</v>
      </c>
    </row>
    <row r="101" spans="3:16" ht="12.75" x14ac:dyDescent="0.2">
      <c r="C101" s="5"/>
      <c r="D101" s="39" t="s">
        <v>181</v>
      </c>
      <c r="E101" s="35" t="s">
        <v>182</v>
      </c>
      <c r="F101" s="12" t="s">
        <v>183</v>
      </c>
      <c r="G101" s="13">
        <f t="shared" si="0"/>
        <v>0</v>
      </c>
      <c r="H101" s="40"/>
      <c r="I101" s="40"/>
      <c r="J101" s="40"/>
      <c r="K101" s="40"/>
      <c r="L101" s="59"/>
      <c r="M101" s="49"/>
      <c r="P101" s="67"/>
    </row>
    <row r="102" spans="3:16" ht="12.75" x14ac:dyDescent="0.2">
      <c r="C102" s="5"/>
      <c r="D102" s="39" t="s">
        <v>184</v>
      </c>
      <c r="E102" s="34" t="s">
        <v>185</v>
      </c>
      <c r="F102" s="12" t="s">
        <v>186</v>
      </c>
      <c r="G102" s="13">
        <f t="shared" si="0"/>
        <v>0</v>
      </c>
      <c r="H102" s="40"/>
      <c r="I102" s="40"/>
      <c r="J102" s="40"/>
      <c r="K102" s="40"/>
      <c r="L102" s="59"/>
      <c r="M102" s="49"/>
      <c r="P102" s="67">
        <v>740</v>
      </c>
    </row>
    <row r="103" spans="3:16" ht="12.75" x14ac:dyDescent="0.2">
      <c r="C103" s="5"/>
      <c r="D103" s="39" t="s">
        <v>187</v>
      </c>
      <c r="E103" s="11" t="s">
        <v>188</v>
      </c>
      <c r="F103" s="12" t="s">
        <v>189</v>
      </c>
      <c r="G103" s="13">
        <f t="shared" si="0"/>
        <v>0</v>
      </c>
      <c r="H103" s="41">
        <f>H104+H120</f>
        <v>0</v>
      </c>
      <c r="I103" s="41">
        <f>I104+I120</f>
        <v>0</v>
      </c>
      <c r="J103" s="41">
        <f>J104+J120</f>
        <v>0</v>
      </c>
      <c r="K103" s="41">
        <f>K104+K120</f>
        <v>0</v>
      </c>
      <c r="L103" s="59"/>
      <c r="M103" s="49"/>
      <c r="P103" s="67">
        <v>750</v>
      </c>
    </row>
    <row r="104" spans="3:16" ht="12.75" x14ac:dyDescent="0.2">
      <c r="C104" s="5"/>
      <c r="D104" s="39" t="s">
        <v>190</v>
      </c>
      <c r="E104" s="14" t="s">
        <v>191</v>
      </c>
      <c r="F104" s="12" t="s">
        <v>192</v>
      </c>
      <c r="G104" s="13">
        <f t="shared" si="0"/>
        <v>0</v>
      </c>
      <c r="H104" s="41">
        <f>H105+H106</f>
        <v>0</v>
      </c>
      <c r="I104" s="41">
        <f>I105+I106</f>
        <v>0</v>
      </c>
      <c r="J104" s="41">
        <f>J105+J106</f>
        <v>0</v>
      </c>
      <c r="K104" s="41">
        <f>K105+K106</f>
        <v>0</v>
      </c>
      <c r="L104" s="59"/>
      <c r="M104" s="49"/>
      <c r="P104" s="67">
        <v>760</v>
      </c>
    </row>
    <row r="105" spans="3:16" ht="12.75" x14ac:dyDescent="0.2">
      <c r="C105" s="5"/>
      <c r="D105" s="39" t="s">
        <v>193</v>
      </c>
      <c r="E105" s="34" t="s">
        <v>194</v>
      </c>
      <c r="F105" s="12" t="s">
        <v>195</v>
      </c>
      <c r="G105" s="13">
        <f t="shared" si="0"/>
        <v>0</v>
      </c>
      <c r="H105" s="40"/>
      <c r="I105" s="40"/>
      <c r="J105" s="40"/>
      <c r="K105" s="40"/>
      <c r="L105" s="59"/>
      <c r="M105" s="49"/>
      <c r="P105" s="67"/>
    </row>
    <row r="106" spans="3:16" ht="12.75" x14ac:dyDescent="0.2">
      <c r="C106" s="5"/>
      <c r="D106" s="39" t="s">
        <v>196</v>
      </c>
      <c r="E106" s="34" t="s">
        <v>197</v>
      </c>
      <c r="F106" s="12" t="s">
        <v>198</v>
      </c>
      <c r="G106" s="13">
        <f t="shared" si="0"/>
        <v>0</v>
      </c>
      <c r="H106" s="41">
        <f>H107+H110+H113+H116+H117+H118+H119</f>
        <v>0</v>
      </c>
      <c r="I106" s="41">
        <f>I107+I110+I113+I116+I117+I118+I119</f>
        <v>0</v>
      </c>
      <c r="J106" s="41">
        <f>J107+J110+J113+J116+J117+J118+J119</f>
        <v>0</v>
      </c>
      <c r="K106" s="41">
        <f>K107+K110+K113+K116+K117+K118+K119</f>
        <v>0</v>
      </c>
      <c r="L106" s="59"/>
      <c r="M106" s="49"/>
      <c r="P106" s="67"/>
    </row>
    <row r="107" spans="3:16" ht="45" x14ac:dyDescent="0.2">
      <c r="C107" s="5"/>
      <c r="D107" s="39" t="s">
        <v>199</v>
      </c>
      <c r="E107" s="35" t="s">
        <v>200</v>
      </c>
      <c r="F107" s="12" t="s">
        <v>201</v>
      </c>
      <c r="G107" s="13">
        <f t="shared" si="0"/>
        <v>0</v>
      </c>
      <c r="H107" s="42">
        <f>H108+H109</f>
        <v>0</v>
      </c>
      <c r="I107" s="42">
        <f>I108+I109</f>
        <v>0</v>
      </c>
      <c r="J107" s="42">
        <f>J108+J109</f>
        <v>0</v>
      </c>
      <c r="K107" s="42">
        <f>K108+K109</f>
        <v>0</v>
      </c>
      <c r="L107" s="59"/>
      <c r="M107" s="49"/>
      <c r="P107" s="67"/>
    </row>
    <row r="108" spans="3:16" ht="12.75" x14ac:dyDescent="0.2">
      <c r="C108" s="5"/>
      <c r="D108" s="39" t="s">
        <v>202</v>
      </c>
      <c r="E108" s="43" t="s">
        <v>203</v>
      </c>
      <c r="F108" s="12" t="s">
        <v>204</v>
      </c>
      <c r="G108" s="13">
        <f t="shared" si="0"/>
        <v>0</v>
      </c>
      <c r="H108" s="40"/>
      <c r="I108" s="40"/>
      <c r="J108" s="40"/>
      <c r="K108" s="40"/>
      <c r="L108" s="59"/>
      <c r="M108" s="49"/>
      <c r="P108" s="67"/>
    </row>
    <row r="109" spans="3:16" ht="12.75" x14ac:dyDescent="0.2">
      <c r="C109" s="5"/>
      <c r="D109" s="39" t="s">
        <v>205</v>
      </c>
      <c r="E109" s="43" t="s">
        <v>206</v>
      </c>
      <c r="F109" s="12" t="s">
        <v>207</v>
      </c>
      <c r="G109" s="13">
        <f t="shared" si="0"/>
        <v>0</v>
      </c>
      <c r="H109" s="40"/>
      <c r="I109" s="40"/>
      <c r="J109" s="40"/>
      <c r="K109" s="40"/>
      <c r="L109" s="59"/>
      <c r="M109" s="49"/>
      <c r="P109" s="67"/>
    </row>
    <row r="110" spans="3:16" ht="45" x14ac:dyDescent="0.2">
      <c r="C110" s="5"/>
      <c r="D110" s="39" t="s">
        <v>208</v>
      </c>
      <c r="E110" s="35" t="s">
        <v>209</v>
      </c>
      <c r="F110" s="12" t="s">
        <v>210</v>
      </c>
      <c r="G110" s="13">
        <f t="shared" si="0"/>
        <v>0</v>
      </c>
      <c r="H110" s="42">
        <f>H111+H112</f>
        <v>0</v>
      </c>
      <c r="I110" s="42">
        <f>I111+I112</f>
        <v>0</v>
      </c>
      <c r="J110" s="42">
        <f>J111+J112</f>
        <v>0</v>
      </c>
      <c r="K110" s="42">
        <f>K111+K112</f>
        <v>0</v>
      </c>
      <c r="L110" s="59"/>
      <c r="M110" s="49"/>
      <c r="P110" s="67"/>
    </row>
    <row r="111" spans="3:16" ht="12.75" x14ac:dyDescent="0.2">
      <c r="C111" s="5"/>
      <c r="D111" s="39" t="s">
        <v>211</v>
      </c>
      <c r="E111" s="43" t="s">
        <v>203</v>
      </c>
      <c r="F111" s="12" t="s">
        <v>212</v>
      </c>
      <c r="G111" s="13">
        <f t="shared" si="0"/>
        <v>0</v>
      </c>
      <c r="H111" s="40"/>
      <c r="I111" s="40"/>
      <c r="J111" s="40"/>
      <c r="K111" s="40"/>
      <c r="L111" s="59"/>
      <c r="M111" s="49"/>
      <c r="P111" s="67"/>
    </row>
    <row r="112" spans="3:16" ht="12.75" x14ac:dyDescent="0.2">
      <c r="C112" s="5"/>
      <c r="D112" s="39" t="s">
        <v>213</v>
      </c>
      <c r="E112" s="43" t="s">
        <v>206</v>
      </c>
      <c r="F112" s="12" t="s">
        <v>214</v>
      </c>
      <c r="G112" s="13">
        <f t="shared" si="0"/>
        <v>0</v>
      </c>
      <c r="H112" s="40"/>
      <c r="I112" s="40"/>
      <c r="J112" s="40"/>
      <c r="K112" s="40"/>
      <c r="L112" s="59"/>
      <c r="M112" s="49"/>
      <c r="P112" s="67"/>
    </row>
    <row r="113" spans="3:16" ht="22.5" x14ac:dyDescent="0.2">
      <c r="C113" s="5"/>
      <c r="D113" s="39" t="s">
        <v>215</v>
      </c>
      <c r="E113" s="35" t="s">
        <v>216</v>
      </c>
      <c r="F113" s="12" t="s">
        <v>217</v>
      </c>
      <c r="G113" s="13">
        <f t="shared" si="0"/>
        <v>0</v>
      </c>
      <c r="H113" s="42">
        <f>H114+H115</f>
        <v>0</v>
      </c>
      <c r="I113" s="42">
        <f>I114+I115</f>
        <v>0</v>
      </c>
      <c r="J113" s="42">
        <f>J114+J115</f>
        <v>0</v>
      </c>
      <c r="K113" s="42">
        <f>K114+K115</f>
        <v>0</v>
      </c>
      <c r="L113" s="59"/>
      <c r="M113" s="49"/>
      <c r="P113" s="67"/>
    </row>
    <row r="114" spans="3:16" ht="12.75" x14ac:dyDescent="0.2">
      <c r="C114" s="5"/>
      <c r="D114" s="39" t="s">
        <v>218</v>
      </c>
      <c r="E114" s="43" t="s">
        <v>203</v>
      </c>
      <c r="F114" s="12" t="s">
        <v>219</v>
      </c>
      <c r="G114" s="13">
        <f t="shared" si="0"/>
        <v>0</v>
      </c>
      <c r="H114" s="40"/>
      <c r="I114" s="40"/>
      <c r="J114" s="40"/>
      <c r="K114" s="40"/>
      <c r="L114" s="59"/>
      <c r="M114" s="49"/>
      <c r="P114" s="67"/>
    </row>
    <row r="115" spans="3:16" ht="12.75" x14ac:dyDescent="0.2">
      <c r="C115" s="5"/>
      <c r="D115" s="39" t="s">
        <v>220</v>
      </c>
      <c r="E115" s="43" t="s">
        <v>206</v>
      </c>
      <c r="F115" s="12" t="s">
        <v>221</v>
      </c>
      <c r="G115" s="13">
        <f t="shared" si="0"/>
        <v>0</v>
      </c>
      <c r="H115" s="40"/>
      <c r="I115" s="40"/>
      <c r="J115" s="40"/>
      <c r="K115" s="40"/>
      <c r="L115" s="59"/>
      <c r="M115" s="49"/>
      <c r="P115" s="67"/>
    </row>
    <row r="116" spans="3:16" ht="22.5" x14ac:dyDescent="0.2">
      <c r="C116" s="5"/>
      <c r="D116" s="39" t="s">
        <v>222</v>
      </c>
      <c r="E116" s="35" t="s">
        <v>223</v>
      </c>
      <c r="F116" s="12" t="s">
        <v>224</v>
      </c>
      <c r="G116" s="13">
        <f t="shared" si="0"/>
        <v>0</v>
      </c>
      <c r="H116" s="40"/>
      <c r="I116" s="40"/>
      <c r="J116" s="40"/>
      <c r="K116" s="40"/>
      <c r="L116" s="59"/>
      <c r="M116" s="49"/>
      <c r="P116" s="67"/>
    </row>
    <row r="117" spans="3:16" ht="12.75" x14ac:dyDescent="0.2">
      <c r="C117" s="5"/>
      <c r="D117" s="39" t="s">
        <v>225</v>
      </c>
      <c r="E117" s="35" t="s">
        <v>226</v>
      </c>
      <c r="F117" s="12" t="s">
        <v>227</v>
      </c>
      <c r="G117" s="13">
        <f t="shared" si="0"/>
        <v>0</v>
      </c>
      <c r="H117" s="40"/>
      <c r="I117" s="40"/>
      <c r="J117" s="40"/>
      <c r="K117" s="40"/>
      <c r="L117" s="59"/>
      <c r="M117" s="49"/>
      <c r="P117" s="67"/>
    </row>
    <row r="118" spans="3:16" ht="45" x14ac:dyDescent="0.2">
      <c r="C118" s="5"/>
      <c r="D118" s="39" t="s">
        <v>228</v>
      </c>
      <c r="E118" s="35" t="s">
        <v>229</v>
      </c>
      <c r="F118" s="12" t="s">
        <v>230</v>
      </c>
      <c r="G118" s="13">
        <f t="shared" si="0"/>
        <v>0</v>
      </c>
      <c r="H118" s="40"/>
      <c r="I118" s="40"/>
      <c r="J118" s="40"/>
      <c r="K118" s="40"/>
      <c r="L118" s="59"/>
      <c r="M118" s="49"/>
      <c r="P118" s="67"/>
    </row>
    <row r="119" spans="3:16" ht="22.5" x14ac:dyDescent="0.2">
      <c r="C119" s="5"/>
      <c r="D119" s="39" t="s">
        <v>231</v>
      </c>
      <c r="E119" s="35" t="s">
        <v>232</v>
      </c>
      <c r="F119" s="12" t="s">
        <v>233</v>
      </c>
      <c r="G119" s="13">
        <f t="shared" si="0"/>
        <v>0</v>
      </c>
      <c r="H119" s="40"/>
      <c r="I119" s="40"/>
      <c r="J119" s="40"/>
      <c r="K119" s="40"/>
      <c r="L119" s="59"/>
      <c r="M119" s="49"/>
      <c r="P119" s="67"/>
    </row>
    <row r="120" spans="3:16" ht="12.75" x14ac:dyDescent="0.2">
      <c r="C120" s="5"/>
      <c r="D120" s="39" t="s">
        <v>234</v>
      </c>
      <c r="E120" s="14" t="s">
        <v>235</v>
      </c>
      <c r="F120" s="12" t="s">
        <v>236</v>
      </c>
      <c r="G120" s="13">
        <f t="shared" si="0"/>
        <v>0</v>
      </c>
      <c r="H120" s="41">
        <f>H123</f>
        <v>0</v>
      </c>
      <c r="I120" s="41">
        <f>I123</f>
        <v>0</v>
      </c>
      <c r="J120" s="41">
        <f>J123</f>
        <v>0</v>
      </c>
      <c r="K120" s="41">
        <f>K123</f>
        <v>0</v>
      </c>
      <c r="L120" s="59"/>
      <c r="M120" s="49"/>
      <c r="P120" s="67">
        <v>770</v>
      </c>
    </row>
    <row r="121" spans="3:16" ht="12.75" x14ac:dyDescent="0.2">
      <c r="C121" s="5"/>
      <c r="D121" s="39" t="s">
        <v>237</v>
      </c>
      <c r="E121" s="34" t="s">
        <v>179</v>
      </c>
      <c r="F121" s="12" t="s">
        <v>238</v>
      </c>
      <c r="G121" s="13">
        <f t="shared" si="0"/>
        <v>0</v>
      </c>
      <c r="H121" s="40"/>
      <c r="I121" s="40"/>
      <c r="J121" s="40"/>
      <c r="K121" s="40"/>
      <c r="L121" s="59"/>
      <c r="M121" s="49"/>
      <c r="P121" s="67">
        <v>780</v>
      </c>
    </row>
    <row r="122" spans="3:16" ht="12.75" x14ac:dyDescent="0.2">
      <c r="C122" s="5"/>
      <c r="D122" s="39" t="s">
        <v>239</v>
      </c>
      <c r="E122" s="35" t="s">
        <v>240</v>
      </c>
      <c r="F122" s="12" t="s">
        <v>241</v>
      </c>
      <c r="G122" s="13">
        <f t="shared" si="0"/>
        <v>0</v>
      </c>
      <c r="H122" s="40"/>
      <c r="I122" s="40"/>
      <c r="J122" s="40"/>
      <c r="K122" s="40"/>
      <c r="L122" s="59"/>
      <c r="M122" s="49"/>
      <c r="P122" s="67"/>
    </row>
    <row r="123" spans="3:16" ht="12.75" x14ac:dyDescent="0.2">
      <c r="C123" s="5"/>
      <c r="D123" s="39" t="s">
        <v>242</v>
      </c>
      <c r="E123" s="34" t="s">
        <v>185</v>
      </c>
      <c r="F123" s="12" t="s">
        <v>243</v>
      </c>
      <c r="G123" s="13">
        <f t="shared" si="0"/>
        <v>0</v>
      </c>
      <c r="H123" s="40"/>
      <c r="I123" s="40"/>
      <c r="J123" s="40"/>
      <c r="K123" s="40"/>
      <c r="L123" s="59"/>
      <c r="M123" s="49"/>
      <c r="P123" s="67">
        <v>790</v>
      </c>
    </row>
    <row r="124" spans="3:16" ht="22.5" x14ac:dyDescent="0.2">
      <c r="C124" s="5"/>
      <c r="D124" s="39" t="s">
        <v>244</v>
      </c>
      <c r="E124" s="32" t="s">
        <v>245</v>
      </c>
      <c r="F124" s="12" t="s">
        <v>246</v>
      </c>
      <c r="G124" s="13">
        <f t="shared" si="0"/>
        <v>7549.6630000000005</v>
      </c>
      <c r="H124" s="41">
        <f>SUM(H125:H126)</f>
        <v>0.67500000000000004</v>
      </c>
      <c r="I124" s="41">
        <f>SUM(I125:I126)</f>
        <v>4290.8980000000001</v>
      </c>
      <c r="J124" s="41">
        <f>SUM(J125:J126)</f>
        <v>1972.7439999999999</v>
      </c>
      <c r="K124" s="41">
        <f>SUM(K125:K126)</f>
        <v>1285.346</v>
      </c>
      <c r="L124" s="59"/>
      <c r="M124" s="49"/>
      <c r="P124" s="67"/>
    </row>
    <row r="125" spans="3:16" ht="12.75" x14ac:dyDescent="0.2">
      <c r="C125" s="5"/>
      <c r="D125" s="39" t="s">
        <v>247</v>
      </c>
      <c r="E125" s="14" t="s">
        <v>173</v>
      </c>
      <c r="F125" s="12" t="s">
        <v>248</v>
      </c>
      <c r="G125" s="13">
        <f t="shared" si="0"/>
        <v>0</v>
      </c>
      <c r="H125" s="40"/>
      <c r="I125" s="40"/>
      <c r="J125" s="40"/>
      <c r="K125" s="40"/>
      <c r="L125" s="59"/>
      <c r="M125" s="49"/>
      <c r="P125" s="67"/>
    </row>
    <row r="126" spans="3:16" ht="12.75" x14ac:dyDescent="0.2">
      <c r="C126" s="5"/>
      <c r="D126" s="39" t="s">
        <v>249</v>
      </c>
      <c r="E126" s="14" t="s">
        <v>176</v>
      </c>
      <c r="F126" s="12" t="s">
        <v>250</v>
      </c>
      <c r="G126" s="13">
        <f t="shared" si="0"/>
        <v>7549.6630000000005</v>
      </c>
      <c r="H126" s="41">
        <f>H128</f>
        <v>0.67500000000000004</v>
      </c>
      <c r="I126" s="41">
        <f>I128</f>
        <v>4290.8980000000001</v>
      </c>
      <c r="J126" s="41">
        <f>J128</f>
        <v>1972.7439999999999</v>
      </c>
      <c r="K126" s="41">
        <f>K128</f>
        <v>1285.346</v>
      </c>
      <c r="L126" s="59"/>
      <c r="M126" s="49"/>
      <c r="P126" s="67"/>
    </row>
    <row r="127" spans="3:16" ht="12.75" x14ac:dyDescent="0.2">
      <c r="C127" s="5"/>
      <c r="D127" s="39" t="s">
        <v>251</v>
      </c>
      <c r="E127" s="34" t="s">
        <v>252</v>
      </c>
      <c r="F127" s="12" t="s">
        <v>253</v>
      </c>
      <c r="G127" s="13">
        <f t="shared" si="0"/>
        <v>44.622999999999998</v>
      </c>
      <c r="H127" s="40"/>
      <c r="I127" s="40">
        <f>I94</f>
        <v>44.622999999999998</v>
      </c>
      <c r="J127" s="40"/>
      <c r="K127" s="40"/>
      <c r="L127" s="59"/>
      <c r="M127" s="49"/>
      <c r="P127" s="67"/>
    </row>
    <row r="128" spans="3:16" ht="12.75" x14ac:dyDescent="0.2">
      <c r="C128" s="5"/>
      <c r="D128" s="39" t="s">
        <v>254</v>
      </c>
      <c r="E128" s="34" t="s">
        <v>185</v>
      </c>
      <c r="F128" s="12" t="s">
        <v>255</v>
      </c>
      <c r="G128" s="13">
        <f t="shared" si="0"/>
        <v>7549.6630000000005</v>
      </c>
      <c r="H128" s="40">
        <f>H48+H34</f>
        <v>0.67500000000000004</v>
      </c>
      <c r="I128" s="40">
        <f>I34+247.586</f>
        <v>4290.8980000000001</v>
      </c>
      <c r="J128" s="40">
        <f>J34+35.792+2.91</f>
        <v>1972.7439999999999</v>
      </c>
      <c r="K128" s="40">
        <f>K34</f>
        <v>1285.346</v>
      </c>
      <c r="L128" s="59"/>
      <c r="M128" s="49"/>
      <c r="P128" s="67"/>
    </row>
    <row r="129" spans="3:16" ht="12.75" x14ac:dyDescent="0.2">
      <c r="C129" s="5"/>
      <c r="D129" s="99" t="s">
        <v>256</v>
      </c>
      <c r="E129" s="100"/>
      <c r="F129" s="100"/>
      <c r="G129" s="100"/>
      <c r="H129" s="100"/>
      <c r="I129" s="100"/>
      <c r="J129" s="100"/>
      <c r="K129" s="101"/>
      <c r="L129" s="59"/>
      <c r="M129" s="49"/>
      <c r="P129" s="71"/>
    </row>
    <row r="130" spans="3:16" ht="22.5" x14ac:dyDescent="0.2">
      <c r="C130" s="5"/>
      <c r="D130" s="39" t="s">
        <v>257</v>
      </c>
      <c r="E130" s="11" t="s">
        <v>258</v>
      </c>
      <c r="F130" s="12" t="s">
        <v>259</v>
      </c>
      <c r="G130" s="13">
        <f t="shared" si="0"/>
        <v>0</v>
      </c>
      <c r="H130" s="41">
        <f>SUM( H131:H132)</f>
        <v>0</v>
      </c>
      <c r="I130" s="41">
        <f>SUM( I131:I132)</f>
        <v>0</v>
      </c>
      <c r="J130" s="41">
        <f>SUM( J131:J132)</f>
        <v>0</v>
      </c>
      <c r="K130" s="41">
        <f>SUM( K131:K132)</f>
        <v>0</v>
      </c>
      <c r="L130" s="59"/>
      <c r="M130" s="49"/>
      <c r="P130" s="67">
        <v>800</v>
      </c>
    </row>
    <row r="131" spans="3:16" ht="12.75" x14ac:dyDescent="0.2">
      <c r="C131" s="5"/>
      <c r="D131" s="39" t="s">
        <v>260</v>
      </c>
      <c r="E131" s="14" t="s">
        <v>173</v>
      </c>
      <c r="F131" s="12" t="s">
        <v>261</v>
      </c>
      <c r="G131" s="13">
        <f t="shared" si="0"/>
        <v>0</v>
      </c>
      <c r="H131" s="40"/>
      <c r="I131" s="40"/>
      <c r="J131" s="40"/>
      <c r="K131" s="40"/>
      <c r="L131" s="59"/>
      <c r="M131" s="49"/>
      <c r="P131" s="67">
        <v>810</v>
      </c>
    </row>
    <row r="132" spans="3:16" ht="12.75" x14ac:dyDescent="0.2">
      <c r="C132" s="5"/>
      <c r="D132" s="39" t="s">
        <v>262</v>
      </c>
      <c r="E132" s="14" t="s">
        <v>176</v>
      </c>
      <c r="F132" s="12" t="s">
        <v>263</v>
      </c>
      <c r="G132" s="13">
        <f t="shared" si="0"/>
        <v>0</v>
      </c>
      <c r="H132" s="41">
        <f>H133+H135</f>
        <v>0</v>
      </c>
      <c r="I132" s="41">
        <f>I133+I135</f>
        <v>0</v>
      </c>
      <c r="J132" s="41">
        <f>J133+J135</f>
        <v>0</v>
      </c>
      <c r="K132" s="41">
        <f>K133+K135</f>
        <v>0</v>
      </c>
      <c r="L132" s="59"/>
      <c r="M132" s="49"/>
      <c r="P132" s="67">
        <v>820</v>
      </c>
    </row>
    <row r="133" spans="3:16" ht="12.75" x14ac:dyDescent="0.2">
      <c r="C133" s="5"/>
      <c r="D133" s="39" t="s">
        <v>264</v>
      </c>
      <c r="E133" s="34" t="s">
        <v>265</v>
      </c>
      <c r="F133" s="12" t="s">
        <v>266</v>
      </c>
      <c r="G133" s="13">
        <f t="shared" si="0"/>
        <v>0</v>
      </c>
      <c r="H133" s="40"/>
      <c r="I133" s="40"/>
      <c r="J133" s="40"/>
      <c r="K133" s="40"/>
      <c r="L133" s="59"/>
      <c r="M133" s="49"/>
      <c r="P133" s="67">
        <v>830</v>
      </c>
    </row>
    <row r="134" spans="3:16" ht="12.75" x14ac:dyDescent="0.2">
      <c r="C134" s="5"/>
      <c r="D134" s="39" t="s">
        <v>267</v>
      </c>
      <c r="E134" s="35" t="s">
        <v>268</v>
      </c>
      <c r="F134" s="12" t="s">
        <v>269</v>
      </c>
      <c r="G134" s="13">
        <f t="shared" si="0"/>
        <v>0</v>
      </c>
      <c r="H134" s="40"/>
      <c r="I134" s="40"/>
      <c r="J134" s="40"/>
      <c r="K134" s="40"/>
      <c r="L134" s="59"/>
      <c r="M134" s="49"/>
      <c r="P134" s="71"/>
    </row>
    <row r="135" spans="3:16" ht="12.75" x14ac:dyDescent="0.2">
      <c r="C135" s="5"/>
      <c r="D135" s="39" t="s">
        <v>270</v>
      </c>
      <c r="E135" s="34" t="s">
        <v>271</v>
      </c>
      <c r="F135" s="12" t="s">
        <v>272</v>
      </c>
      <c r="G135" s="13">
        <f t="shared" si="0"/>
        <v>0</v>
      </c>
      <c r="H135" s="40"/>
      <c r="I135" s="40"/>
      <c r="J135" s="40"/>
      <c r="K135" s="40"/>
      <c r="L135" s="59"/>
      <c r="M135" s="49"/>
      <c r="P135" s="67">
        <v>840</v>
      </c>
    </row>
    <row r="136" spans="3:16" ht="12.75" x14ac:dyDescent="0.2">
      <c r="C136" s="5"/>
      <c r="D136" s="39" t="s">
        <v>19</v>
      </c>
      <c r="E136" s="11" t="s">
        <v>273</v>
      </c>
      <c r="F136" s="12" t="s">
        <v>274</v>
      </c>
      <c r="G136" s="13">
        <f t="shared" si="0"/>
        <v>0</v>
      </c>
      <c r="H136" s="42">
        <f>SUM( H137+H142)</f>
        <v>0</v>
      </c>
      <c r="I136" s="42">
        <f>SUM( I137+I142)</f>
        <v>0</v>
      </c>
      <c r="J136" s="42">
        <f>SUM( J137+J142)</f>
        <v>0</v>
      </c>
      <c r="K136" s="42">
        <f>SUM( K137+K142)</f>
        <v>0</v>
      </c>
      <c r="L136" s="62"/>
      <c r="M136" s="49"/>
      <c r="P136" s="67">
        <v>850</v>
      </c>
    </row>
    <row r="137" spans="3:16" ht="12.75" x14ac:dyDescent="0.2">
      <c r="C137" s="5"/>
      <c r="D137" s="39" t="s">
        <v>275</v>
      </c>
      <c r="E137" s="14" t="s">
        <v>173</v>
      </c>
      <c r="F137" s="12" t="s">
        <v>276</v>
      </c>
      <c r="G137" s="13">
        <f t="shared" ref="G137:G150" si="1">SUM(H137:K137)</f>
        <v>0</v>
      </c>
      <c r="H137" s="42">
        <f>SUM( H138:H139)</f>
        <v>0</v>
      </c>
      <c r="I137" s="42">
        <f>SUM( I138:I139)</f>
        <v>0</v>
      </c>
      <c r="J137" s="42">
        <f>SUM( J138:J139)</f>
        <v>0</v>
      </c>
      <c r="K137" s="42">
        <f>SUM( K138:K139)</f>
        <v>0</v>
      </c>
      <c r="L137" s="62"/>
      <c r="M137" s="49"/>
      <c r="P137" s="67">
        <v>860</v>
      </c>
    </row>
    <row r="138" spans="3:16" ht="12.75" x14ac:dyDescent="0.2">
      <c r="C138" s="5"/>
      <c r="D138" s="39" t="s">
        <v>277</v>
      </c>
      <c r="E138" s="34" t="s">
        <v>194</v>
      </c>
      <c r="F138" s="12" t="s">
        <v>278</v>
      </c>
      <c r="G138" s="13">
        <f t="shared" si="1"/>
        <v>0</v>
      </c>
      <c r="H138" s="44"/>
      <c r="I138" s="44"/>
      <c r="J138" s="44"/>
      <c r="K138" s="44"/>
      <c r="L138" s="62"/>
      <c r="M138" s="49"/>
      <c r="P138" s="67"/>
    </row>
    <row r="139" spans="3:16" ht="12.75" x14ac:dyDescent="0.2">
      <c r="C139" s="5"/>
      <c r="D139" s="39" t="s">
        <v>279</v>
      </c>
      <c r="E139" s="34" t="s">
        <v>197</v>
      </c>
      <c r="F139" s="12" t="s">
        <v>280</v>
      </c>
      <c r="G139" s="13">
        <f t="shared" si="1"/>
        <v>0</v>
      </c>
      <c r="H139" s="42">
        <f>H140+H141</f>
        <v>0</v>
      </c>
      <c r="I139" s="42">
        <f>I140+I141</f>
        <v>0</v>
      </c>
      <c r="J139" s="42">
        <f>J140+J141</f>
        <v>0</v>
      </c>
      <c r="K139" s="42">
        <f>K140+K141</f>
        <v>0</v>
      </c>
      <c r="L139" s="62"/>
      <c r="M139" s="49"/>
      <c r="P139" s="67"/>
    </row>
    <row r="140" spans="3:16" ht="12.75" x14ac:dyDescent="0.2">
      <c r="C140" s="5"/>
      <c r="D140" s="39" t="s">
        <v>281</v>
      </c>
      <c r="E140" s="35" t="s">
        <v>203</v>
      </c>
      <c r="F140" s="12" t="s">
        <v>282</v>
      </c>
      <c r="G140" s="13">
        <f t="shared" si="1"/>
        <v>0</v>
      </c>
      <c r="H140" s="44"/>
      <c r="I140" s="44"/>
      <c r="J140" s="44"/>
      <c r="K140" s="44"/>
      <c r="L140" s="62"/>
      <c r="M140" s="49"/>
      <c r="P140" s="67"/>
    </row>
    <row r="141" spans="3:16" ht="12.75" x14ac:dyDescent="0.2">
      <c r="C141" s="5"/>
      <c r="D141" s="39" t="s">
        <v>283</v>
      </c>
      <c r="E141" s="35" t="s">
        <v>284</v>
      </c>
      <c r="F141" s="12" t="s">
        <v>285</v>
      </c>
      <c r="G141" s="13">
        <f t="shared" si="1"/>
        <v>0</v>
      </c>
      <c r="H141" s="44"/>
      <c r="I141" s="44"/>
      <c r="J141" s="44"/>
      <c r="K141" s="44"/>
      <c r="L141" s="62"/>
      <c r="M141" s="49"/>
      <c r="P141" s="67"/>
    </row>
    <row r="142" spans="3:16" ht="12.75" x14ac:dyDescent="0.2">
      <c r="C142" s="5"/>
      <c r="D142" s="39" t="s">
        <v>286</v>
      </c>
      <c r="E142" s="14" t="s">
        <v>235</v>
      </c>
      <c r="F142" s="12" t="s">
        <v>287</v>
      </c>
      <c r="G142" s="13">
        <f t="shared" si="1"/>
        <v>0</v>
      </c>
      <c r="H142" s="42">
        <f>H143+H145</f>
        <v>0</v>
      </c>
      <c r="I142" s="42">
        <f>I143+I145</f>
        <v>0</v>
      </c>
      <c r="J142" s="42">
        <f>J143+J145</f>
        <v>0</v>
      </c>
      <c r="K142" s="42">
        <f>K143+K145</f>
        <v>0</v>
      </c>
      <c r="L142" s="62"/>
      <c r="M142" s="49"/>
      <c r="P142" s="67">
        <v>870</v>
      </c>
    </row>
    <row r="143" spans="3:16" ht="12.75" x14ac:dyDescent="0.2">
      <c r="C143" s="5"/>
      <c r="D143" s="39" t="s">
        <v>288</v>
      </c>
      <c r="E143" s="34" t="s">
        <v>265</v>
      </c>
      <c r="F143" s="12" t="s">
        <v>289</v>
      </c>
      <c r="G143" s="13">
        <f t="shared" si="1"/>
        <v>0</v>
      </c>
      <c r="H143" s="40"/>
      <c r="I143" s="40"/>
      <c r="J143" s="40"/>
      <c r="K143" s="40"/>
      <c r="L143" s="62"/>
      <c r="M143" s="49"/>
      <c r="P143" s="67">
        <v>880</v>
      </c>
    </row>
    <row r="144" spans="3:16" ht="12.75" x14ac:dyDescent="0.2">
      <c r="C144" s="5"/>
      <c r="D144" s="39" t="s">
        <v>290</v>
      </c>
      <c r="E144" s="35" t="s">
        <v>268</v>
      </c>
      <c r="F144" s="12" t="s">
        <v>291</v>
      </c>
      <c r="G144" s="13">
        <f t="shared" si="1"/>
        <v>0</v>
      </c>
      <c r="H144" s="40"/>
      <c r="I144" s="40"/>
      <c r="J144" s="40"/>
      <c r="K144" s="40"/>
      <c r="L144" s="62"/>
      <c r="M144" s="49"/>
      <c r="P144" s="67"/>
    </row>
    <row r="145" spans="3:19" ht="12.75" x14ac:dyDescent="0.2">
      <c r="C145" s="5"/>
      <c r="D145" s="39" t="s">
        <v>292</v>
      </c>
      <c r="E145" s="34" t="s">
        <v>271</v>
      </c>
      <c r="F145" s="12" t="s">
        <v>293</v>
      </c>
      <c r="G145" s="13">
        <f t="shared" si="1"/>
        <v>0</v>
      </c>
      <c r="H145" s="45"/>
      <c r="I145" s="45"/>
      <c r="J145" s="45"/>
      <c r="K145" s="45"/>
      <c r="L145" s="62"/>
      <c r="M145" s="49"/>
      <c r="P145" s="67">
        <v>890</v>
      </c>
    </row>
    <row r="146" spans="3:19" ht="22.5" x14ac:dyDescent="0.2">
      <c r="C146" s="5"/>
      <c r="D146" s="39" t="s">
        <v>294</v>
      </c>
      <c r="E146" s="11" t="s">
        <v>295</v>
      </c>
      <c r="F146" s="12" t="s">
        <v>296</v>
      </c>
      <c r="G146" s="13">
        <f t="shared" si="1"/>
        <v>3819.4572736559999</v>
      </c>
      <c r="H146" s="46">
        <f>SUM( H147:H148)</f>
        <v>7.16445E-2</v>
      </c>
      <c r="I146" s="46">
        <f>SUM( I147:I148)</f>
        <v>3473.5719565559998</v>
      </c>
      <c r="J146" s="46">
        <f>SUM( J147:J148)</f>
        <v>209.38704815999998</v>
      </c>
      <c r="K146" s="46">
        <f>SUM( K147:K148)</f>
        <v>136.42662444000001</v>
      </c>
      <c r="L146" s="62"/>
      <c r="M146" s="49"/>
      <c r="P146" s="67">
        <v>900</v>
      </c>
    </row>
    <row r="147" spans="3:19" ht="12.75" x14ac:dyDescent="0.2">
      <c r="C147" s="5"/>
      <c r="D147" s="39" t="s">
        <v>297</v>
      </c>
      <c r="E147" s="14" t="s">
        <v>173</v>
      </c>
      <c r="F147" s="12" t="s">
        <v>298</v>
      </c>
      <c r="G147" s="13">
        <f t="shared" si="1"/>
        <v>0</v>
      </c>
      <c r="H147" s="45"/>
      <c r="I147" s="45"/>
      <c r="J147" s="45"/>
      <c r="K147" s="45"/>
      <c r="L147" s="62"/>
      <c r="M147" s="49"/>
      <c r="P147" s="67"/>
    </row>
    <row r="148" spans="3:19" ht="12.75" x14ac:dyDescent="0.2">
      <c r="C148" s="5"/>
      <c r="D148" s="39" t="s">
        <v>299</v>
      </c>
      <c r="E148" s="14" t="s">
        <v>176</v>
      </c>
      <c r="F148" s="12" t="s">
        <v>300</v>
      </c>
      <c r="G148" s="13">
        <f t="shared" si="1"/>
        <v>3819.4572736559999</v>
      </c>
      <c r="H148" s="46">
        <f>H149+H150</f>
        <v>7.16445E-2</v>
      </c>
      <c r="I148" s="46">
        <f>I149+I150</f>
        <v>3473.5719565559998</v>
      </c>
      <c r="J148" s="46">
        <f>J149+J150</f>
        <v>209.38704815999998</v>
      </c>
      <c r="K148" s="46">
        <f>K149+K150</f>
        <v>136.42662444000001</v>
      </c>
      <c r="L148" s="62"/>
      <c r="M148" s="49"/>
      <c r="P148" s="67"/>
    </row>
    <row r="149" spans="3:19" ht="12.75" x14ac:dyDescent="0.2">
      <c r="C149" s="5"/>
      <c r="D149" s="39" t="s">
        <v>301</v>
      </c>
      <c r="E149" s="34" t="s">
        <v>302</v>
      </c>
      <c r="F149" s="12" t="s">
        <v>303</v>
      </c>
      <c r="G149" s="13">
        <f t="shared" si="1"/>
        <v>3018.1360428359999</v>
      </c>
      <c r="H149" s="45"/>
      <c r="I149" s="45">
        <f>I127*56363.61/1000*1.2</f>
        <v>3018.1360428359999</v>
      </c>
      <c r="J149" s="45"/>
      <c r="K149" s="45"/>
      <c r="L149" s="62"/>
      <c r="M149" s="49"/>
      <c r="P149" s="67" t="s">
        <v>333</v>
      </c>
    </row>
    <row r="150" spans="3:19" ht="12.75" x14ac:dyDescent="0.2">
      <c r="C150" s="5"/>
      <c r="D150" s="39" t="s">
        <v>304</v>
      </c>
      <c r="E150" s="34" t="s">
        <v>271</v>
      </c>
      <c r="F150" s="12" t="s">
        <v>305</v>
      </c>
      <c r="G150" s="13">
        <f t="shared" si="1"/>
        <v>801.32123081999998</v>
      </c>
      <c r="H150" s="45">
        <f>H128*88.45/1000*1.2</f>
        <v>7.16445E-2</v>
      </c>
      <c r="I150" s="45">
        <f>I128*88.45/1000*1.2</f>
        <v>455.43591371999997</v>
      </c>
      <c r="J150" s="45">
        <f>J128*88.45/1000*1.2</f>
        <v>209.38704815999998</v>
      </c>
      <c r="K150" s="45">
        <f>K128*88.45/1000*1.2</f>
        <v>136.42662444000001</v>
      </c>
      <c r="L150" s="62"/>
      <c r="M150" s="49"/>
      <c r="P150" s="67" t="s">
        <v>334</v>
      </c>
    </row>
    <row r="151" spans="3:19" x14ac:dyDescent="0.25">
      <c r="D151" s="4"/>
      <c r="E151" s="47"/>
      <c r="F151" s="47"/>
      <c r="G151" s="47"/>
      <c r="H151" s="47"/>
      <c r="I151" s="47"/>
      <c r="J151" s="47"/>
      <c r="K151" s="48"/>
      <c r="L151" s="48"/>
      <c r="M151" s="48"/>
      <c r="N151" s="48"/>
      <c r="O151" s="48"/>
      <c r="P151" s="48"/>
      <c r="Q151" s="48"/>
      <c r="R151" s="63"/>
      <c r="S151" s="63"/>
    </row>
    <row r="152" spans="3:19" ht="12.75" x14ac:dyDescent="0.2">
      <c r="E152" s="49" t="s">
        <v>306</v>
      </c>
      <c r="F152" s="108" t="str">
        <f>IF([5]Титульный!G45="","",[5]Титульный!G45)</f>
        <v>экономист</v>
      </c>
      <c r="G152" s="108"/>
      <c r="H152" s="50"/>
      <c r="I152" s="108" t="str">
        <f>IF([5]Титульный!G44="","",[5]Титульный!G44)</f>
        <v>Кривнева Е. В.</v>
      </c>
      <c r="J152" s="108"/>
      <c r="K152" s="108"/>
      <c r="L152" s="50"/>
      <c r="M152" s="72"/>
      <c r="N152" s="72"/>
      <c r="O152" s="52"/>
      <c r="P152" s="48"/>
      <c r="Q152" s="48"/>
      <c r="R152" s="63"/>
      <c r="S152" s="63"/>
    </row>
    <row r="153" spans="3:19" ht="12.75" x14ac:dyDescent="0.2">
      <c r="E153" s="51" t="s">
        <v>307</v>
      </c>
      <c r="F153" s="109" t="s">
        <v>308</v>
      </c>
      <c r="G153" s="109"/>
      <c r="H153" s="52"/>
      <c r="I153" s="109" t="s">
        <v>309</v>
      </c>
      <c r="J153" s="109"/>
      <c r="K153" s="109"/>
      <c r="L153" s="52"/>
      <c r="M153" s="109" t="s">
        <v>335</v>
      </c>
      <c r="N153" s="109"/>
      <c r="O153" s="49"/>
      <c r="P153" s="48"/>
      <c r="Q153" s="48"/>
      <c r="R153" s="63"/>
      <c r="S153" s="63"/>
    </row>
    <row r="154" spans="3:19" ht="12.75" x14ac:dyDescent="0.2">
      <c r="E154" s="51" t="s">
        <v>310</v>
      </c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8"/>
      <c r="Q154" s="48"/>
      <c r="R154" s="63"/>
      <c r="S154" s="63"/>
    </row>
    <row r="155" spans="3:19" ht="12.75" x14ac:dyDescent="0.2">
      <c r="E155" s="51" t="s">
        <v>311</v>
      </c>
      <c r="F155" s="108" t="str">
        <f>IF([5]Титульный!G46="","",[5]Титульный!G46)</f>
        <v>(861) 258-50-71</v>
      </c>
      <c r="G155" s="108"/>
      <c r="H155" s="108"/>
      <c r="I155" s="49"/>
      <c r="J155" s="51" t="s">
        <v>312</v>
      </c>
      <c r="K155" s="92"/>
      <c r="L155" s="49"/>
      <c r="M155" s="49"/>
      <c r="N155" s="49"/>
      <c r="O155" s="49"/>
      <c r="P155" s="48"/>
      <c r="Q155" s="48"/>
      <c r="R155" s="63"/>
      <c r="S155" s="63"/>
    </row>
    <row r="156" spans="3:19" ht="12.75" x14ac:dyDescent="0.2">
      <c r="E156" s="49" t="s">
        <v>313</v>
      </c>
      <c r="F156" s="110" t="s">
        <v>314</v>
      </c>
      <c r="G156" s="110"/>
      <c r="H156" s="110"/>
      <c r="I156" s="49"/>
      <c r="J156" s="53" t="s">
        <v>315</v>
      </c>
      <c r="K156" s="53"/>
      <c r="L156" s="49"/>
      <c r="M156" s="49"/>
      <c r="N156" s="49"/>
      <c r="O156" s="49"/>
      <c r="P156" s="48"/>
      <c r="Q156" s="48"/>
      <c r="R156" s="63"/>
      <c r="S156" s="63"/>
    </row>
    <row r="157" spans="3:19" x14ac:dyDescent="0.25"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63"/>
      <c r="S157" s="63"/>
    </row>
    <row r="158" spans="3:19" x14ac:dyDescent="0.25"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63"/>
      <c r="S158" s="63"/>
    </row>
    <row r="159" spans="3:19" x14ac:dyDescent="0.25"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63"/>
      <c r="S159" s="63"/>
    </row>
    <row r="160" spans="3:19" x14ac:dyDescent="0.25"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63"/>
      <c r="S160" s="63"/>
    </row>
    <row r="161" spans="5:19" x14ac:dyDescent="0.25"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63"/>
      <c r="S161" s="63"/>
    </row>
    <row r="162" spans="5:19" x14ac:dyDescent="0.25"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63"/>
      <c r="S162" s="63"/>
    </row>
    <row r="163" spans="5:19" x14ac:dyDescent="0.25"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63"/>
      <c r="S163" s="63"/>
    </row>
    <row r="164" spans="5:19" x14ac:dyDescent="0.25"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63"/>
      <c r="S164" s="63"/>
    </row>
    <row r="165" spans="5:19" x14ac:dyDescent="0.25"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63"/>
      <c r="S165" s="63"/>
    </row>
    <row r="166" spans="5:19" x14ac:dyDescent="0.25"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63"/>
      <c r="S166" s="63"/>
    </row>
    <row r="167" spans="5:19" x14ac:dyDescent="0.25"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63"/>
      <c r="S167" s="63"/>
    </row>
    <row r="168" spans="5:19" x14ac:dyDescent="0.25"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63"/>
      <c r="S168" s="63"/>
    </row>
    <row r="169" spans="5:19" x14ac:dyDescent="0.25"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63"/>
      <c r="S169" s="63"/>
    </row>
    <row r="170" spans="5:19" x14ac:dyDescent="0.25"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63"/>
      <c r="S170" s="63"/>
    </row>
    <row r="171" spans="5:19" x14ac:dyDescent="0.25"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63"/>
      <c r="S171" s="63"/>
    </row>
    <row r="172" spans="5:19" x14ac:dyDescent="0.25"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63"/>
      <c r="S172" s="63"/>
    </row>
    <row r="173" spans="5:19" x14ac:dyDescent="0.25"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63"/>
      <c r="S173" s="63"/>
    </row>
    <row r="174" spans="5:19" x14ac:dyDescent="0.25"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63"/>
      <c r="S174" s="63"/>
    </row>
    <row r="175" spans="5:19" x14ac:dyDescent="0.25"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63"/>
      <c r="S175" s="63"/>
    </row>
    <row r="176" spans="5:19" x14ac:dyDescent="0.25"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63"/>
      <c r="S176" s="63"/>
    </row>
    <row r="177" spans="5:19" x14ac:dyDescent="0.25"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63"/>
      <c r="S177" s="63"/>
    </row>
    <row r="178" spans="5:19" x14ac:dyDescent="0.25"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63"/>
      <c r="S178" s="63"/>
    </row>
    <row r="179" spans="5:19" x14ac:dyDescent="0.25"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63"/>
      <c r="S179" s="63"/>
    </row>
    <row r="180" spans="5:19" x14ac:dyDescent="0.25"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63"/>
      <c r="S180" s="63"/>
    </row>
    <row r="181" spans="5:19" x14ac:dyDescent="0.25"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63"/>
      <c r="S181" s="63"/>
    </row>
    <row r="182" spans="5:19" x14ac:dyDescent="0.25"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5:19" x14ac:dyDescent="0.25"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5:19" x14ac:dyDescent="0.25"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5:19" x14ac:dyDescent="0.25"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</sheetData>
  <mergeCells count="18">
    <mergeCell ref="F153:G153"/>
    <mergeCell ref="I153:K153"/>
    <mergeCell ref="M153:N153"/>
    <mergeCell ref="F155:H155"/>
    <mergeCell ref="F156:H156"/>
    <mergeCell ref="F152:G152"/>
    <mergeCell ref="I152:K152"/>
    <mergeCell ref="D8:E8"/>
    <mergeCell ref="D11:D12"/>
    <mergeCell ref="E11:E12"/>
    <mergeCell ref="F11:F12"/>
    <mergeCell ref="G11:G12"/>
    <mergeCell ref="H11:K11"/>
    <mergeCell ref="D14:K14"/>
    <mergeCell ref="D53:K53"/>
    <mergeCell ref="D92:K92"/>
    <mergeCell ref="D96:K96"/>
    <mergeCell ref="D129:K129"/>
  </mergeCells>
  <dataValidations count="2">
    <dataValidation allowBlank="1" showInputMessage="1" promptTitle="Ввод" prompt="Для выбора организации необходимо два раза нажать левую клавишу мыши!" sqref="E42 E25:E26 E81 E64:E65"/>
    <dataValidation type="decimal" allowBlank="1" showErrorMessage="1" errorTitle="Ошибка" error="Допускается ввод только действительных чисел!" sqref="G54:K57 G93:K95 G67:K81 G15:K18 G83:K91 G97:K128 G23:K26 G44:K52 G28:K42 G130:K150 G59:K60 G20:K21 G62:K65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87"/>
  <sheetViews>
    <sheetView topLeftCell="C7" workbookViewId="0">
      <selection activeCell="E16" sqref="E16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 x14ac:dyDescent="0.25">
      <c r="S1" s="54"/>
      <c r="T1" s="54"/>
      <c r="U1" s="54"/>
      <c r="V1" s="54"/>
      <c r="Y1" s="54"/>
      <c r="AA1" s="54"/>
      <c r="AN1" s="54"/>
      <c r="AO1" s="54"/>
      <c r="AP1" s="54"/>
      <c r="BC1" s="54"/>
      <c r="BF1" s="54"/>
      <c r="BG1" s="54"/>
      <c r="BI1" s="54"/>
      <c r="BM1" s="54"/>
      <c r="BO1" s="54"/>
      <c r="BX1" s="54"/>
      <c r="BY1" s="54"/>
      <c r="CC1" s="54"/>
    </row>
    <row r="2" spans="1:81" hidden="1" x14ac:dyDescent="0.25"/>
    <row r="3" spans="1:81" hidden="1" x14ac:dyDescent="0.25"/>
    <row r="4" spans="1:81" hidden="1" x14ac:dyDescent="0.25">
      <c r="A4" s="55"/>
      <c r="F4" s="56"/>
      <c r="G4" s="56"/>
      <c r="H4" s="56"/>
      <c r="I4" s="56"/>
      <c r="J4" s="56"/>
      <c r="K4" s="56"/>
      <c r="M4" s="56"/>
      <c r="N4" s="56"/>
      <c r="O4" s="56"/>
      <c r="P4" s="56"/>
      <c r="Q4" s="56"/>
    </row>
    <row r="5" spans="1:81" hidden="1" x14ac:dyDescent="0.25">
      <c r="A5" s="57"/>
      <c r="F5" s="1" t="s">
        <v>316</v>
      </c>
      <c r="G5" s="1" t="s">
        <v>317</v>
      </c>
      <c r="H5" s="1" t="s">
        <v>318</v>
      </c>
      <c r="I5" s="1" t="s">
        <v>319</v>
      </c>
      <c r="J5" s="1" t="s">
        <v>320</v>
      </c>
      <c r="K5" s="1" t="s">
        <v>321</v>
      </c>
      <c r="L5" s="1" t="s">
        <v>322</v>
      </c>
      <c r="M5" s="1" t="s">
        <v>323</v>
      </c>
      <c r="N5" s="1" t="s">
        <v>323</v>
      </c>
      <c r="O5" s="1" t="s">
        <v>324</v>
      </c>
      <c r="P5" s="1" t="s">
        <v>325</v>
      </c>
      <c r="Q5" s="1" t="s">
        <v>326</v>
      </c>
    </row>
    <row r="6" spans="1:81" hidden="1" x14ac:dyDescent="0.25">
      <c r="A6" s="57"/>
    </row>
    <row r="7" spans="1:81" ht="12" customHeight="1" x14ac:dyDescent="0.25">
      <c r="A7" s="57"/>
      <c r="D7" s="5"/>
      <c r="E7" s="5"/>
      <c r="F7" s="5"/>
      <c r="G7" s="5"/>
      <c r="H7" s="5"/>
      <c r="I7" s="5"/>
      <c r="J7" s="5"/>
      <c r="K7" s="58"/>
      <c r="Q7" s="66"/>
    </row>
    <row r="8" spans="1:81" ht="22.5" customHeight="1" x14ac:dyDescent="0.25">
      <c r="A8" s="57"/>
      <c r="D8" s="104" t="s">
        <v>0</v>
      </c>
      <c r="E8" s="10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81" x14ac:dyDescent="0.25">
      <c r="A9" s="57"/>
      <c r="D9" s="3" t="s">
        <v>347</v>
      </c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81" ht="12" customHeight="1" x14ac:dyDescent="0.25">
      <c r="D10" s="4"/>
      <c r="E10" s="4"/>
      <c r="F10" s="5"/>
      <c r="G10" s="5"/>
      <c r="H10" s="5"/>
      <c r="I10" s="5"/>
      <c r="K10" s="6" t="s">
        <v>1</v>
      </c>
    </row>
    <row r="11" spans="1:81" ht="15" customHeight="1" x14ac:dyDescent="0.25">
      <c r="C11" s="5"/>
      <c r="D11" s="105" t="s">
        <v>2</v>
      </c>
      <c r="E11" s="102" t="s">
        <v>3</v>
      </c>
      <c r="F11" s="102" t="s">
        <v>4</v>
      </c>
      <c r="G11" s="102" t="s">
        <v>5</v>
      </c>
      <c r="H11" s="102" t="s">
        <v>6</v>
      </c>
      <c r="I11" s="102"/>
      <c r="J11" s="102"/>
      <c r="K11" s="103"/>
      <c r="L11" s="59"/>
    </row>
    <row r="12" spans="1:81" ht="15" customHeight="1" x14ac:dyDescent="0.25">
      <c r="C12" s="5"/>
      <c r="D12" s="106"/>
      <c r="E12" s="107"/>
      <c r="F12" s="107"/>
      <c r="G12" s="107"/>
      <c r="H12" s="93" t="s">
        <v>7</v>
      </c>
      <c r="I12" s="93" t="s">
        <v>8</v>
      </c>
      <c r="J12" s="93" t="s">
        <v>9</v>
      </c>
      <c r="K12" s="7" t="s">
        <v>10</v>
      </c>
      <c r="L12" s="59"/>
    </row>
    <row r="13" spans="1:81" ht="12" customHeight="1" x14ac:dyDescent="0.25">
      <c r="D13" s="8">
        <v>0</v>
      </c>
      <c r="E13" s="8">
        <v>1</v>
      </c>
      <c r="F13" s="8">
        <v>2</v>
      </c>
      <c r="G13" s="8">
        <v>3</v>
      </c>
      <c r="H13" s="8">
        <v>4</v>
      </c>
      <c r="I13" s="8">
        <v>5</v>
      </c>
      <c r="J13" s="8">
        <v>6</v>
      </c>
      <c r="K13" s="8">
        <v>7</v>
      </c>
    </row>
    <row r="14" spans="1:81" s="60" customFormat="1" ht="15" customHeight="1" x14ac:dyDescent="0.25">
      <c r="C14" s="9"/>
      <c r="D14" s="99" t="s">
        <v>11</v>
      </c>
      <c r="E14" s="100"/>
      <c r="F14" s="100"/>
      <c r="G14" s="100"/>
      <c r="H14" s="100"/>
      <c r="I14" s="100"/>
      <c r="J14" s="100"/>
      <c r="K14" s="101"/>
      <c r="L14" s="61"/>
    </row>
    <row r="15" spans="1:81" s="60" customFormat="1" ht="15" customHeight="1" x14ac:dyDescent="0.2">
      <c r="C15" s="9"/>
      <c r="D15" s="10" t="s">
        <v>12</v>
      </c>
      <c r="E15" s="11" t="s">
        <v>13</v>
      </c>
      <c r="F15" s="12">
        <v>10</v>
      </c>
      <c r="G15" s="13">
        <f>SUM(H15:K15)</f>
        <v>7059.1900000000005</v>
      </c>
      <c r="H15" s="13">
        <f>H16+H17+H21+H24</f>
        <v>1089.1379999999999</v>
      </c>
      <c r="I15" s="13">
        <f>I16+I17+I21+I24</f>
        <v>4897.8590000000004</v>
      </c>
      <c r="J15" s="13">
        <f>J16+J17+J21+J24</f>
        <v>1072.193</v>
      </c>
      <c r="K15" s="13">
        <f>K16+K17+K21+K24</f>
        <v>0</v>
      </c>
      <c r="L15" s="61"/>
      <c r="M15" s="49"/>
      <c r="P15" s="67">
        <v>10</v>
      </c>
    </row>
    <row r="16" spans="1:81" s="60" customFormat="1" ht="15" customHeight="1" x14ac:dyDescent="0.2">
      <c r="C16" s="9"/>
      <c r="D16" s="10" t="s">
        <v>14</v>
      </c>
      <c r="E16" s="14" t="s">
        <v>15</v>
      </c>
      <c r="F16" s="12">
        <v>20</v>
      </c>
      <c r="G16" s="13">
        <f t="shared" ref="G16:G138" si="0">SUM(H16:K16)</f>
        <v>0</v>
      </c>
      <c r="H16" s="15"/>
      <c r="I16" s="15"/>
      <c r="J16" s="15"/>
      <c r="K16" s="15"/>
      <c r="L16" s="61"/>
      <c r="M16" s="49"/>
      <c r="P16" s="67">
        <v>20</v>
      </c>
    </row>
    <row r="17" spans="3:16" s="60" customFormat="1" ht="12.75" x14ac:dyDescent="0.2">
      <c r="C17" s="9"/>
      <c r="D17" s="10" t="s">
        <v>16</v>
      </c>
      <c r="E17" s="14" t="s">
        <v>17</v>
      </c>
      <c r="F17" s="12">
        <v>30</v>
      </c>
      <c r="G17" s="13">
        <f t="shared" si="0"/>
        <v>0.28000000000000003</v>
      </c>
      <c r="H17" s="13">
        <f>SUM(H18:H20)</f>
        <v>0</v>
      </c>
      <c r="I17" s="13">
        <f>SUM(I18:I20)</f>
        <v>0</v>
      </c>
      <c r="J17" s="13">
        <f>SUM(J18:J20)</f>
        <v>0.28000000000000003</v>
      </c>
      <c r="K17" s="13">
        <f>SUM(K18:K20)</f>
        <v>0</v>
      </c>
      <c r="L17" s="61"/>
      <c r="M17" s="49"/>
      <c r="P17" s="67">
        <v>30</v>
      </c>
    </row>
    <row r="18" spans="3:16" s="60" customFormat="1" ht="12.75" x14ac:dyDescent="0.2">
      <c r="C18" s="9"/>
      <c r="D18" s="16" t="s">
        <v>18</v>
      </c>
      <c r="E18" s="17"/>
      <c r="F18" s="18" t="s">
        <v>19</v>
      </c>
      <c r="G18" s="19"/>
      <c r="H18" s="19"/>
      <c r="I18" s="19"/>
      <c r="J18" s="19"/>
      <c r="K18" s="19"/>
      <c r="L18" s="61"/>
      <c r="M18" s="49"/>
      <c r="P18" s="67"/>
    </row>
    <row r="19" spans="3:16" s="60" customFormat="1" ht="15" x14ac:dyDescent="0.25">
      <c r="C19" s="24" t="s">
        <v>29</v>
      </c>
      <c r="D19" s="25" t="s">
        <v>336</v>
      </c>
      <c r="E19" s="26" t="s">
        <v>337</v>
      </c>
      <c r="F19" s="27">
        <v>31</v>
      </c>
      <c r="G19" s="28">
        <f>SUM(H19:K19)</f>
        <v>0.28000000000000003</v>
      </c>
      <c r="H19" s="29"/>
      <c r="I19" s="29"/>
      <c r="J19" s="29">
        <v>0.28000000000000003</v>
      </c>
      <c r="K19" s="30"/>
      <c r="L19" s="61"/>
      <c r="M19" s="69" t="s">
        <v>338</v>
      </c>
      <c r="N19" s="70" t="s">
        <v>339</v>
      </c>
      <c r="O19" s="70" t="s">
        <v>340</v>
      </c>
    </row>
    <row r="20" spans="3:16" s="60" customFormat="1" ht="12.75" x14ac:dyDescent="0.2">
      <c r="C20" s="9"/>
      <c r="D20" s="20"/>
      <c r="E20" s="21" t="s">
        <v>20</v>
      </c>
      <c r="F20" s="22"/>
      <c r="G20" s="22"/>
      <c r="H20" s="22"/>
      <c r="I20" s="22"/>
      <c r="J20" s="22"/>
      <c r="K20" s="23"/>
      <c r="L20" s="61"/>
      <c r="M20" s="49"/>
      <c r="P20" s="68"/>
    </row>
    <row r="21" spans="3:16" s="60" customFormat="1" ht="12.75" x14ac:dyDescent="0.2">
      <c r="C21" s="9"/>
      <c r="D21" s="10" t="s">
        <v>21</v>
      </c>
      <c r="E21" s="14" t="s">
        <v>22</v>
      </c>
      <c r="F21" s="12" t="s">
        <v>23</v>
      </c>
      <c r="G21" s="13">
        <f t="shared" si="0"/>
        <v>0</v>
      </c>
      <c r="H21" s="13">
        <f>SUM(H22:H23)</f>
        <v>0</v>
      </c>
      <c r="I21" s="13">
        <f>SUM(I22:I23)</f>
        <v>0</v>
      </c>
      <c r="J21" s="13">
        <f>SUM(J22:J23)</f>
        <v>0</v>
      </c>
      <c r="K21" s="13">
        <f>SUM(K22:K23)</f>
        <v>0</v>
      </c>
      <c r="L21" s="61"/>
      <c r="M21" s="49"/>
      <c r="P21" s="68"/>
    </row>
    <row r="22" spans="3:16" s="60" customFormat="1" ht="12.75" x14ac:dyDescent="0.2">
      <c r="C22" s="9"/>
      <c r="D22" s="16" t="s">
        <v>24</v>
      </c>
      <c r="E22" s="17"/>
      <c r="F22" s="18" t="s">
        <v>23</v>
      </c>
      <c r="G22" s="19"/>
      <c r="H22" s="19"/>
      <c r="I22" s="19"/>
      <c r="J22" s="19"/>
      <c r="K22" s="19"/>
      <c r="L22" s="61"/>
      <c r="M22" s="49"/>
      <c r="P22" s="67"/>
    </row>
    <row r="23" spans="3:16" s="60" customFormat="1" ht="12.75" x14ac:dyDescent="0.2">
      <c r="C23" s="9"/>
      <c r="D23" s="20"/>
      <c r="E23" s="21" t="s">
        <v>20</v>
      </c>
      <c r="F23" s="22"/>
      <c r="G23" s="22"/>
      <c r="H23" s="22"/>
      <c r="I23" s="22"/>
      <c r="J23" s="22"/>
      <c r="K23" s="23"/>
      <c r="L23" s="61"/>
      <c r="M23" s="49"/>
      <c r="P23" s="68"/>
    </row>
    <row r="24" spans="3:16" s="60" customFormat="1" ht="12.75" x14ac:dyDescent="0.2">
      <c r="C24" s="9"/>
      <c r="D24" s="10" t="s">
        <v>25</v>
      </c>
      <c r="E24" s="14" t="s">
        <v>26</v>
      </c>
      <c r="F24" s="12" t="s">
        <v>27</v>
      </c>
      <c r="G24" s="13">
        <f t="shared" si="0"/>
        <v>7058.91</v>
      </c>
      <c r="H24" s="13">
        <f>SUM(H25:H28)</f>
        <v>1089.1379999999999</v>
      </c>
      <c r="I24" s="13">
        <f>SUM(I25:I28)</f>
        <v>4897.8590000000004</v>
      </c>
      <c r="J24" s="13">
        <f>SUM(J25:J28)</f>
        <v>1071.913</v>
      </c>
      <c r="K24" s="13">
        <f>SUM(K25:K28)</f>
        <v>0</v>
      </c>
      <c r="L24" s="61"/>
      <c r="M24" s="49"/>
      <c r="P24" s="67">
        <v>40</v>
      </c>
    </row>
    <row r="25" spans="3:16" s="60" customFormat="1" ht="12.75" x14ac:dyDescent="0.2">
      <c r="C25" s="9"/>
      <c r="D25" s="16" t="s">
        <v>28</v>
      </c>
      <c r="E25" s="17"/>
      <c r="F25" s="18" t="s">
        <v>27</v>
      </c>
      <c r="G25" s="19"/>
      <c r="H25" s="19"/>
      <c r="I25" s="19"/>
      <c r="J25" s="19"/>
      <c r="K25" s="19"/>
      <c r="L25" s="61"/>
      <c r="M25" s="49"/>
      <c r="P25" s="67"/>
    </row>
    <row r="26" spans="3:16" s="60" customFormat="1" ht="15" x14ac:dyDescent="0.25">
      <c r="C26" s="24" t="s">
        <v>29</v>
      </c>
      <c r="D26" s="25" t="s">
        <v>30</v>
      </c>
      <c r="E26" s="26" t="s">
        <v>344</v>
      </c>
      <c r="F26" s="27">
        <v>431</v>
      </c>
      <c r="G26" s="28">
        <f>SUM(H26:K26)</f>
        <v>6558.2560000000003</v>
      </c>
      <c r="H26" s="29">
        <v>1089.1379999999999</v>
      </c>
      <c r="I26" s="29">
        <v>4897.8590000000004</v>
      </c>
      <c r="J26" s="29">
        <v>571.25900000000001</v>
      </c>
      <c r="K26" s="30"/>
      <c r="L26" s="61"/>
      <c r="M26" s="69" t="s">
        <v>327</v>
      </c>
      <c r="N26" s="70" t="s">
        <v>328</v>
      </c>
      <c r="O26" s="70" t="s">
        <v>329</v>
      </c>
    </row>
    <row r="27" spans="3:16" s="60" customFormat="1" ht="15" x14ac:dyDescent="0.25">
      <c r="C27" s="24" t="s">
        <v>29</v>
      </c>
      <c r="D27" s="25" t="s">
        <v>342</v>
      </c>
      <c r="E27" s="26" t="s">
        <v>68</v>
      </c>
      <c r="F27" s="27">
        <v>432</v>
      </c>
      <c r="G27" s="28">
        <f>SUM(H27:K27)</f>
        <v>500.654</v>
      </c>
      <c r="H27" s="29"/>
      <c r="I27" s="29"/>
      <c r="J27" s="29">
        <v>500.654</v>
      </c>
      <c r="K27" s="30"/>
      <c r="L27" s="61"/>
      <c r="M27" s="69" t="s">
        <v>330</v>
      </c>
      <c r="N27" s="70" t="s">
        <v>328</v>
      </c>
      <c r="O27" s="70" t="s">
        <v>332</v>
      </c>
    </row>
    <row r="28" spans="3:16" s="60" customFormat="1" ht="12.75" x14ac:dyDescent="0.2">
      <c r="C28" s="9"/>
      <c r="D28" s="20"/>
      <c r="E28" s="21" t="s">
        <v>20</v>
      </c>
      <c r="F28" s="22"/>
      <c r="G28" s="22"/>
      <c r="H28" s="22"/>
      <c r="I28" s="22"/>
      <c r="J28" s="22"/>
      <c r="K28" s="23"/>
      <c r="L28" s="61"/>
      <c r="M28" s="49"/>
      <c r="P28" s="67"/>
    </row>
    <row r="29" spans="3:16" s="60" customFormat="1" ht="12.75" x14ac:dyDescent="0.2">
      <c r="C29" s="9"/>
      <c r="D29" s="10" t="s">
        <v>31</v>
      </c>
      <c r="E29" s="11" t="s">
        <v>32</v>
      </c>
      <c r="F29" s="12" t="s">
        <v>33</v>
      </c>
      <c r="G29" s="13">
        <f t="shared" si="0"/>
        <v>3871.5700000000011</v>
      </c>
      <c r="H29" s="13">
        <f>H31+H32+H33</f>
        <v>0</v>
      </c>
      <c r="I29" s="13">
        <f>I30+I32+I33</f>
        <v>0</v>
      </c>
      <c r="J29" s="13">
        <f>J30+J31+J33</f>
        <v>2402.0060000000003</v>
      </c>
      <c r="K29" s="13">
        <f>K30+K31+K32</f>
        <v>1469.5640000000008</v>
      </c>
      <c r="L29" s="61"/>
      <c r="M29" s="49"/>
      <c r="P29" s="67">
        <v>50</v>
      </c>
    </row>
    <row r="30" spans="3:16" s="60" customFormat="1" ht="12.75" x14ac:dyDescent="0.2">
      <c r="C30" s="9"/>
      <c r="D30" s="10" t="s">
        <v>34</v>
      </c>
      <c r="E30" s="14" t="s">
        <v>7</v>
      </c>
      <c r="F30" s="12" t="s">
        <v>35</v>
      </c>
      <c r="G30" s="13">
        <f t="shared" si="0"/>
        <v>1089.0229999999999</v>
      </c>
      <c r="H30" s="31"/>
      <c r="I30" s="15"/>
      <c r="J30" s="15">
        <f>H46</f>
        <v>1089.0229999999999</v>
      </c>
      <c r="K30" s="15"/>
      <c r="L30" s="61"/>
      <c r="M30" s="49"/>
      <c r="P30" s="67">
        <v>60</v>
      </c>
    </row>
    <row r="31" spans="3:16" s="60" customFormat="1" ht="12.75" x14ac:dyDescent="0.2">
      <c r="C31" s="9"/>
      <c r="D31" s="10" t="s">
        <v>36</v>
      </c>
      <c r="E31" s="14" t="s">
        <v>8</v>
      </c>
      <c r="F31" s="12" t="s">
        <v>37</v>
      </c>
      <c r="G31" s="13">
        <f t="shared" si="0"/>
        <v>1312.9830000000006</v>
      </c>
      <c r="H31" s="15"/>
      <c r="I31" s="31"/>
      <c r="J31" s="15">
        <f>I26-I35-I49</f>
        <v>1312.9830000000006</v>
      </c>
      <c r="K31" s="15"/>
      <c r="L31" s="61"/>
      <c r="M31" s="49"/>
      <c r="P31" s="67">
        <v>70</v>
      </c>
    </row>
    <row r="32" spans="3:16" s="60" customFormat="1" ht="12.75" x14ac:dyDescent="0.2">
      <c r="C32" s="9"/>
      <c r="D32" s="10" t="s">
        <v>38</v>
      </c>
      <c r="E32" s="14" t="s">
        <v>9</v>
      </c>
      <c r="F32" s="12" t="s">
        <v>39</v>
      </c>
      <c r="G32" s="13">
        <f t="shared" si="0"/>
        <v>1469.5640000000008</v>
      </c>
      <c r="H32" s="15"/>
      <c r="I32" s="15"/>
      <c r="J32" s="31"/>
      <c r="K32" s="15">
        <f>J24+J29+J17-J49-J35</f>
        <v>1469.5640000000008</v>
      </c>
      <c r="L32" s="61"/>
      <c r="M32" s="49"/>
      <c r="P32" s="67">
        <v>80</v>
      </c>
    </row>
    <row r="33" spans="3:16" s="60" customFormat="1" ht="12.75" x14ac:dyDescent="0.2">
      <c r="C33" s="9"/>
      <c r="D33" s="10" t="s">
        <v>40</v>
      </c>
      <c r="E33" s="14" t="s">
        <v>41</v>
      </c>
      <c r="F33" s="12" t="s">
        <v>42</v>
      </c>
      <c r="G33" s="13">
        <f t="shared" si="0"/>
        <v>0</v>
      </c>
      <c r="H33" s="15"/>
      <c r="I33" s="15"/>
      <c r="J33" s="15"/>
      <c r="K33" s="31"/>
      <c r="L33" s="61"/>
      <c r="M33" s="49"/>
      <c r="P33" s="67">
        <v>90</v>
      </c>
    </row>
    <row r="34" spans="3:16" s="60" customFormat="1" ht="12.75" x14ac:dyDescent="0.2">
      <c r="C34" s="9"/>
      <c r="D34" s="10" t="s">
        <v>43</v>
      </c>
      <c r="E34" s="32" t="s">
        <v>44</v>
      </c>
      <c r="F34" s="12" t="s">
        <v>45</v>
      </c>
      <c r="G34" s="13">
        <f t="shared" si="0"/>
        <v>0</v>
      </c>
      <c r="H34" s="15"/>
      <c r="I34" s="15"/>
      <c r="J34" s="15"/>
      <c r="K34" s="15"/>
      <c r="L34" s="61"/>
      <c r="M34" s="49"/>
      <c r="P34" s="67"/>
    </row>
    <row r="35" spans="3:16" s="60" customFormat="1" ht="12.75" x14ac:dyDescent="0.2">
      <c r="C35" s="9"/>
      <c r="D35" s="10" t="s">
        <v>46</v>
      </c>
      <c r="E35" s="11" t="s">
        <v>47</v>
      </c>
      <c r="F35" s="33" t="s">
        <v>48</v>
      </c>
      <c r="G35" s="13">
        <f t="shared" si="0"/>
        <v>6968.1039999999994</v>
      </c>
      <c r="H35" s="13">
        <f>H36+H38+H41+H45</f>
        <v>0</v>
      </c>
      <c r="I35" s="13">
        <f>I36+I38+I41+I45</f>
        <v>3557.7</v>
      </c>
      <c r="J35" s="13">
        <f>J36+J38+J41+J45</f>
        <v>1981.6869999999999</v>
      </c>
      <c r="K35" s="13">
        <f>K36+K38+K41+K45</f>
        <v>1428.7170000000001</v>
      </c>
      <c r="L35" s="61"/>
      <c r="M35" s="49"/>
      <c r="P35" s="67">
        <v>100</v>
      </c>
    </row>
    <row r="36" spans="3:16" s="60" customFormat="1" ht="22.5" x14ac:dyDescent="0.2">
      <c r="C36" s="9"/>
      <c r="D36" s="10" t="s">
        <v>49</v>
      </c>
      <c r="E36" s="14" t="s">
        <v>50</v>
      </c>
      <c r="F36" s="12" t="s">
        <v>51</v>
      </c>
      <c r="G36" s="13">
        <f t="shared" si="0"/>
        <v>0</v>
      </c>
      <c r="H36" s="15"/>
      <c r="I36" s="15"/>
      <c r="J36" s="15"/>
      <c r="K36" s="15"/>
      <c r="L36" s="61"/>
      <c r="M36" s="49"/>
      <c r="P36" s="67"/>
    </row>
    <row r="37" spans="3:16" s="60" customFormat="1" ht="12.75" x14ac:dyDescent="0.2">
      <c r="C37" s="9"/>
      <c r="D37" s="10" t="s">
        <v>52</v>
      </c>
      <c r="E37" s="34" t="s">
        <v>53</v>
      </c>
      <c r="F37" s="12" t="s">
        <v>54</v>
      </c>
      <c r="G37" s="13">
        <f t="shared" si="0"/>
        <v>0</v>
      </c>
      <c r="H37" s="15"/>
      <c r="I37" s="15"/>
      <c r="J37" s="15"/>
      <c r="K37" s="15"/>
      <c r="L37" s="61"/>
      <c r="M37" s="49"/>
      <c r="P37" s="67"/>
    </row>
    <row r="38" spans="3:16" s="60" customFormat="1" ht="12.75" x14ac:dyDescent="0.2">
      <c r="C38" s="9"/>
      <c r="D38" s="10" t="s">
        <v>55</v>
      </c>
      <c r="E38" s="14" t="s">
        <v>56</v>
      </c>
      <c r="F38" s="12" t="s">
        <v>57</v>
      </c>
      <c r="G38" s="13">
        <f t="shared" si="0"/>
        <v>4165.0029999999997</v>
      </c>
      <c r="H38" s="15">
        <v>0</v>
      </c>
      <c r="I38" s="15">
        <f>3557.7-I43</f>
        <v>754.59899999999971</v>
      </c>
      <c r="J38" s="15">
        <v>1981.6869999999999</v>
      </c>
      <c r="K38" s="15">
        <v>1428.7170000000001</v>
      </c>
      <c r="L38" s="61"/>
      <c r="M38" s="49"/>
      <c r="P38" s="67"/>
    </row>
    <row r="39" spans="3:16" s="60" customFormat="1" ht="12.75" x14ac:dyDescent="0.2">
      <c r="C39" s="9"/>
      <c r="D39" s="10" t="s">
        <v>58</v>
      </c>
      <c r="E39" s="34" t="s">
        <v>59</v>
      </c>
      <c r="F39" s="12" t="s">
        <v>60</v>
      </c>
      <c r="G39" s="13">
        <f t="shared" si="0"/>
        <v>0</v>
      </c>
      <c r="H39" s="15"/>
      <c r="I39" s="15"/>
      <c r="J39" s="15"/>
      <c r="K39" s="15"/>
      <c r="L39" s="61"/>
      <c r="M39" s="49"/>
      <c r="P39" s="67"/>
    </row>
    <row r="40" spans="3:16" s="60" customFormat="1" ht="12.75" x14ac:dyDescent="0.2">
      <c r="C40" s="9"/>
      <c r="D40" s="10" t="s">
        <v>61</v>
      </c>
      <c r="E40" s="35" t="s">
        <v>53</v>
      </c>
      <c r="F40" s="12" t="s">
        <v>62</v>
      </c>
      <c r="G40" s="13">
        <f t="shared" si="0"/>
        <v>0</v>
      </c>
      <c r="H40" s="15"/>
      <c r="I40" s="15"/>
      <c r="J40" s="15"/>
      <c r="K40" s="15"/>
      <c r="L40" s="61"/>
      <c r="M40" s="49"/>
      <c r="P40" s="67"/>
    </row>
    <row r="41" spans="3:16" s="60" customFormat="1" ht="12.75" x14ac:dyDescent="0.2">
      <c r="C41" s="9"/>
      <c r="D41" s="10" t="s">
        <v>63</v>
      </c>
      <c r="E41" s="14" t="s">
        <v>64</v>
      </c>
      <c r="F41" s="12" t="s">
        <v>65</v>
      </c>
      <c r="G41" s="13">
        <f t="shared" si="0"/>
        <v>2803.1010000000001</v>
      </c>
      <c r="H41" s="13">
        <f>SUM(H42:H44)</f>
        <v>0</v>
      </c>
      <c r="I41" s="13">
        <f>SUM(I42:I44)</f>
        <v>2803.1010000000001</v>
      </c>
      <c r="J41" s="13">
        <f>SUM(J42:J44)</f>
        <v>0</v>
      </c>
      <c r="K41" s="13">
        <f>SUM(K42:K44)</f>
        <v>0</v>
      </c>
      <c r="L41" s="61"/>
      <c r="M41" s="49"/>
      <c r="P41" s="67"/>
    </row>
    <row r="42" spans="3:16" s="60" customFormat="1" ht="12.75" x14ac:dyDescent="0.2">
      <c r="C42" s="9"/>
      <c r="D42" s="16" t="s">
        <v>66</v>
      </c>
      <c r="E42" s="17"/>
      <c r="F42" s="18" t="s">
        <v>65</v>
      </c>
      <c r="G42" s="19"/>
      <c r="H42" s="19"/>
      <c r="I42" s="19"/>
      <c r="J42" s="19"/>
      <c r="K42" s="19"/>
      <c r="L42" s="61"/>
      <c r="M42" s="49"/>
      <c r="P42" s="67"/>
    </row>
    <row r="43" spans="3:16" s="60" customFormat="1" ht="15" x14ac:dyDescent="0.25">
      <c r="C43" s="24" t="s">
        <v>29</v>
      </c>
      <c r="D43" s="25" t="s">
        <v>67</v>
      </c>
      <c r="E43" s="26" t="s">
        <v>68</v>
      </c>
      <c r="F43" s="27">
        <v>751</v>
      </c>
      <c r="G43" s="28">
        <f>SUM(H43:K43)</f>
        <v>2803.1010000000001</v>
      </c>
      <c r="H43" s="29"/>
      <c r="I43" s="29">
        <v>2803.1010000000001</v>
      </c>
      <c r="J43" s="29"/>
      <c r="K43" s="30"/>
      <c r="L43" s="61"/>
      <c r="M43" s="69" t="s">
        <v>330</v>
      </c>
      <c r="N43" s="70" t="s">
        <v>331</v>
      </c>
      <c r="O43" s="70" t="s">
        <v>332</v>
      </c>
    </row>
    <row r="44" spans="3:16" s="60" customFormat="1" ht="12.75" x14ac:dyDescent="0.2">
      <c r="C44" s="9"/>
      <c r="D44" s="36"/>
      <c r="E44" s="21" t="s">
        <v>20</v>
      </c>
      <c r="F44" s="22"/>
      <c r="G44" s="22"/>
      <c r="H44" s="22"/>
      <c r="I44" s="22"/>
      <c r="J44" s="22"/>
      <c r="K44" s="23"/>
      <c r="L44" s="61"/>
      <c r="M44" s="49"/>
      <c r="P44" s="67"/>
    </row>
    <row r="45" spans="3:16" s="60" customFormat="1" ht="12.75" x14ac:dyDescent="0.2">
      <c r="C45" s="9"/>
      <c r="D45" s="10" t="s">
        <v>69</v>
      </c>
      <c r="E45" s="37" t="s">
        <v>70</v>
      </c>
      <c r="F45" s="12" t="s">
        <v>71</v>
      </c>
      <c r="G45" s="13">
        <f t="shared" si="0"/>
        <v>0</v>
      </c>
      <c r="H45" s="15"/>
      <c r="I45" s="15"/>
      <c r="J45" s="15"/>
      <c r="K45" s="15"/>
      <c r="L45" s="61"/>
      <c r="M45" s="49"/>
      <c r="P45" s="67">
        <v>120</v>
      </c>
    </row>
    <row r="46" spans="3:16" s="60" customFormat="1" ht="12.75" x14ac:dyDescent="0.2">
      <c r="C46" s="9"/>
      <c r="D46" s="10" t="s">
        <v>72</v>
      </c>
      <c r="E46" s="11" t="s">
        <v>73</v>
      </c>
      <c r="F46" s="12" t="s">
        <v>74</v>
      </c>
      <c r="G46" s="13">
        <f t="shared" si="0"/>
        <v>3871.5700000000011</v>
      </c>
      <c r="H46" s="15">
        <f>H26-H49-H35</f>
        <v>1089.0229999999999</v>
      </c>
      <c r="I46" s="15">
        <f>I15-I35-I49</f>
        <v>1312.9830000000006</v>
      </c>
      <c r="J46" s="15">
        <f>J24+J29+J17-J35-J49</f>
        <v>1469.5640000000005</v>
      </c>
      <c r="K46" s="15">
        <f>K32-K35-K49</f>
        <v>6.6080474425689317E-13</v>
      </c>
      <c r="L46" s="61"/>
      <c r="M46" s="49"/>
      <c r="P46" s="67">
        <v>150</v>
      </c>
    </row>
    <row r="47" spans="3:16" s="60" customFormat="1" ht="12.75" x14ac:dyDescent="0.2">
      <c r="C47" s="9"/>
      <c r="D47" s="10" t="s">
        <v>75</v>
      </c>
      <c r="E47" s="11" t="s">
        <v>76</v>
      </c>
      <c r="F47" s="12" t="s">
        <v>77</v>
      </c>
      <c r="G47" s="13">
        <f t="shared" si="0"/>
        <v>0</v>
      </c>
      <c r="H47" s="15"/>
      <c r="I47" s="15"/>
      <c r="J47" s="15"/>
      <c r="K47" s="15"/>
      <c r="L47" s="61"/>
      <c r="M47" s="49"/>
      <c r="P47" s="67">
        <v>160</v>
      </c>
    </row>
    <row r="48" spans="3:16" s="60" customFormat="1" ht="12.75" x14ac:dyDescent="0.2">
      <c r="C48" s="9"/>
      <c r="D48" s="10" t="s">
        <v>78</v>
      </c>
      <c r="E48" s="11" t="s">
        <v>79</v>
      </c>
      <c r="F48" s="12" t="s">
        <v>80</v>
      </c>
      <c r="G48" s="13">
        <f t="shared" si="0"/>
        <v>0</v>
      </c>
      <c r="H48" s="15"/>
      <c r="I48" s="15"/>
      <c r="J48" s="15"/>
      <c r="K48" s="15"/>
      <c r="L48" s="61"/>
      <c r="M48" s="49"/>
      <c r="P48" s="67">
        <v>180</v>
      </c>
    </row>
    <row r="49" spans="3:16" s="60" customFormat="1" ht="12.75" x14ac:dyDescent="0.2">
      <c r="C49" s="9"/>
      <c r="D49" s="10" t="s">
        <v>81</v>
      </c>
      <c r="E49" s="11" t="s">
        <v>82</v>
      </c>
      <c r="F49" s="12" t="s">
        <v>83</v>
      </c>
      <c r="G49" s="13">
        <f t="shared" si="0"/>
        <v>91.085999999999999</v>
      </c>
      <c r="H49" s="15">
        <v>0.115</v>
      </c>
      <c r="I49" s="15">
        <v>27.175999999999998</v>
      </c>
      <c r="J49" s="15">
        <v>22.948</v>
      </c>
      <c r="K49" s="15">
        <v>40.847000000000001</v>
      </c>
      <c r="L49" s="61"/>
      <c r="M49" s="49"/>
      <c r="P49" s="67">
        <v>190</v>
      </c>
    </row>
    <row r="50" spans="3:16" s="60" customFormat="1" ht="12.75" x14ac:dyDescent="0.2">
      <c r="C50" s="9"/>
      <c r="D50" s="10" t="s">
        <v>84</v>
      </c>
      <c r="E50" s="14" t="s">
        <v>85</v>
      </c>
      <c r="F50" s="12" t="s">
        <v>86</v>
      </c>
      <c r="G50" s="13">
        <f t="shared" si="0"/>
        <v>0</v>
      </c>
      <c r="H50" s="15"/>
      <c r="I50" s="15"/>
      <c r="J50" s="15"/>
      <c r="K50" s="15"/>
      <c r="L50" s="61"/>
      <c r="M50" s="49"/>
      <c r="P50" s="67">
        <v>200</v>
      </c>
    </row>
    <row r="51" spans="3:16" s="60" customFormat="1" ht="22.5" x14ac:dyDescent="0.2">
      <c r="C51" s="9"/>
      <c r="D51" s="10" t="s">
        <v>87</v>
      </c>
      <c r="E51" s="11" t="s">
        <v>88</v>
      </c>
      <c r="F51" s="12" t="s">
        <v>89</v>
      </c>
      <c r="G51" s="13">
        <f t="shared" si="0"/>
        <v>170.03800000000001</v>
      </c>
      <c r="H51" s="15"/>
      <c r="I51" s="15">
        <f>170.038*0.2468</f>
        <v>41.965378399999999</v>
      </c>
      <c r="J51" s="15">
        <f>170.038*0.3291</f>
        <v>55.959505800000002</v>
      </c>
      <c r="K51" s="15">
        <f>170.038*0.4241</f>
        <v>72.113115800000003</v>
      </c>
      <c r="L51" s="61"/>
      <c r="M51" s="49"/>
      <c r="P51" s="68"/>
    </row>
    <row r="52" spans="3:16" s="60" customFormat="1" ht="33.75" x14ac:dyDescent="0.2">
      <c r="C52" s="9"/>
      <c r="D52" s="10" t="s">
        <v>90</v>
      </c>
      <c r="E52" s="32" t="s">
        <v>91</v>
      </c>
      <c r="F52" s="12" t="s">
        <v>92</v>
      </c>
      <c r="G52" s="13">
        <f t="shared" si="0"/>
        <v>-78.951999999999998</v>
      </c>
      <c r="H52" s="13">
        <f>H49-H51</f>
        <v>0.115</v>
      </c>
      <c r="I52" s="13">
        <f>I49-I51</f>
        <v>-14.7893784</v>
      </c>
      <c r="J52" s="13">
        <f>J49-J51</f>
        <v>-33.011505800000002</v>
      </c>
      <c r="K52" s="13">
        <f>K49-K51</f>
        <v>-31.266115800000001</v>
      </c>
      <c r="L52" s="61"/>
      <c r="M52" s="49"/>
      <c r="P52" s="68"/>
    </row>
    <row r="53" spans="3:16" s="60" customFormat="1" ht="12.75" x14ac:dyDescent="0.2">
      <c r="C53" s="9"/>
      <c r="D53" s="10" t="s">
        <v>93</v>
      </c>
      <c r="E53" s="11" t="s">
        <v>94</v>
      </c>
      <c r="F53" s="12" t="s">
        <v>95</v>
      </c>
      <c r="G53" s="13">
        <f t="shared" si="0"/>
        <v>0</v>
      </c>
      <c r="H53" s="13">
        <f>(H15+H29+H34)-(H35+H46+H47+H48+H49)</f>
        <v>0</v>
      </c>
      <c r="I53" s="13">
        <f>(I15+I29+I34)-(I35+I46+I47+I48+I49)</f>
        <v>0</v>
      </c>
      <c r="J53" s="13">
        <f>(J15+J29+J34)-(J35+J46+J47+J48+J49)</f>
        <v>0</v>
      </c>
      <c r="K53" s="13">
        <f>(K15+K29+K34)-(K35+K46+K47+K48+K49)</f>
        <v>0</v>
      </c>
      <c r="L53" s="61"/>
      <c r="M53" s="49"/>
      <c r="P53" s="67">
        <v>210</v>
      </c>
    </row>
    <row r="54" spans="3:16" s="60" customFormat="1" ht="12.75" x14ac:dyDescent="0.2">
      <c r="C54" s="9"/>
      <c r="D54" s="99" t="s">
        <v>96</v>
      </c>
      <c r="E54" s="100"/>
      <c r="F54" s="100"/>
      <c r="G54" s="100"/>
      <c r="H54" s="100"/>
      <c r="I54" s="100"/>
      <c r="J54" s="100"/>
      <c r="K54" s="101"/>
      <c r="L54" s="61"/>
      <c r="M54" s="49"/>
      <c r="P54" s="68"/>
    </row>
    <row r="55" spans="3:16" s="60" customFormat="1" ht="12.75" x14ac:dyDescent="0.2">
      <c r="C55" s="9"/>
      <c r="D55" s="10" t="s">
        <v>97</v>
      </c>
      <c r="E55" s="11" t="s">
        <v>13</v>
      </c>
      <c r="F55" s="12" t="s">
        <v>98</v>
      </c>
      <c r="G55" s="13">
        <f t="shared" si="0"/>
        <v>9.4881586021505377</v>
      </c>
      <c r="H55" s="13">
        <f>H56+H57+H61+H64</f>
        <v>1.4638951612903224</v>
      </c>
      <c r="I55" s="13">
        <f>I56+I57+I61+I64</f>
        <v>6.5831438172043013</v>
      </c>
      <c r="J55" s="13">
        <f>J56+J57+J61+J64</f>
        <v>1.4411196236559141</v>
      </c>
      <c r="K55" s="13">
        <f>K56+K57+K61+K64</f>
        <v>0</v>
      </c>
      <c r="L55" s="61"/>
      <c r="M55" s="49"/>
      <c r="P55" s="67">
        <v>300</v>
      </c>
    </row>
    <row r="56" spans="3:16" s="60" customFormat="1" ht="12.75" x14ac:dyDescent="0.2">
      <c r="C56" s="9"/>
      <c r="D56" s="10" t="s">
        <v>99</v>
      </c>
      <c r="E56" s="14" t="s">
        <v>15</v>
      </c>
      <c r="F56" s="12" t="s">
        <v>100</v>
      </c>
      <c r="G56" s="13">
        <f t="shared" si="0"/>
        <v>0</v>
      </c>
      <c r="H56" s="15"/>
      <c r="I56" s="15"/>
      <c r="J56" s="15"/>
      <c r="K56" s="15"/>
      <c r="L56" s="61"/>
      <c r="M56" s="49"/>
      <c r="P56" s="67">
        <v>310</v>
      </c>
    </row>
    <row r="57" spans="3:16" s="60" customFormat="1" ht="12.75" x14ac:dyDescent="0.2">
      <c r="C57" s="9"/>
      <c r="D57" s="10" t="s">
        <v>101</v>
      </c>
      <c r="E57" s="14" t="s">
        <v>17</v>
      </c>
      <c r="F57" s="12" t="s">
        <v>102</v>
      </c>
      <c r="G57" s="13">
        <f t="shared" si="0"/>
        <v>3.7634408602150543E-4</v>
      </c>
      <c r="H57" s="13">
        <f>SUM(H58:H60)</f>
        <v>0</v>
      </c>
      <c r="I57" s="13">
        <f>SUM(I58:I60)</f>
        <v>0</v>
      </c>
      <c r="J57" s="13">
        <f>SUM(J58:J60)</f>
        <v>3.7634408602150543E-4</v>
      </c>
      <c r="K57" s="13">
        <f>SUM(K58:K60)</f>
        <v>0</v>
      </c>
      <c r="L57" s="61"/>
      <c r="M57" s="49"/>
      <c r="P57" s="67">
        <v>320</v>
      </c>
    </row>
    <row r="58" spans="3:16" s="60" customFormat="1" ht="12.75" x14ac:dyDescent="0.2">
      <c r="C58" s="9"/>
      <c r="D58" s="16" t="s">
        <v>103</v>
      </c>
      <c r="E58" s="17"/>
      <c r="F58" s="18" t="s">
        <v>102</v>
      </c>
      <c r="G58" s="19"/>
      <c r="H58" s="19"/>
      <c r="I58" s="19"/>
      <c r="J58" s="19"/>
      <c r="K58" s="19"/>
      <c r="L58" s="61"/>
      <c r="M58" s="49"/>
      <c r="P58" s="67"/>
    </row>
    <row r="59" spans="3:16" s="60" customFormat="1" ht="15" x14ac:dyDescent="0.25">
      <c r="C59" s="24" t="s">
        <v>29</v>
      </c>
      <c r="D59" s="25" t="s">
        <v>341</v>
      </c>
      <c r="E59" s="26" t="s">
        <v>337</v>
      </c>
      <c r="F59" s="27">
        <v>1061</v>
      </c>
      <c r="G59" s="28">
        <f>SUM(H59:K59)</f>
        <v>3.7634408602150543E-4</v>
      </c>
      <c r="H59" s="29"/>
      <c r="I59" s="29"/>
      <c r="J59" s="29">
        <f>J19/744</f>
        <v>3.7634408602150543E-4</v>
      </c>
      <c r="K59" s="30"/>
      <c r="L59" s="61"/>
      <c r="M59" s="69" t="s">
        <v>338</v>
      </c>
      <c r="N59" s="70" t="s">
        <v>339</v>
      </c>
      <c r="O59" s="70" t="s">
        <v>340</v>
      </c>
    </row>
    <row r="60" spans="3:16" s="60" customFormat="1" ht="12.75" x14ac:dyDescent="0.2">
      <c r="C60" s="9"/>
      <c r="D60" s="20"/>
      <c r="E60" s="21" t="s">
        <v>20</v>
      </c>
      <c r="F60" s="22"/>
      <c r="G60" s="22"/>
      <c r="H60" s="22"/>
      <c r="I60" s="22"/>
      <c r="J60" s="22"/>
      <c r="K60" s="23"/>
      <c r="L60" s="61"/>
      <c r="M60" s="49"/>
      <c r="P60" s="67"/>
    </row>
    <row r="61" spans="3:16" s="60" customFormat="1" ht="12.75" x14ac:dyDescent="0.2">
      <c r="C61" s="9"/>
      <c r="D61" s="10" t="s">
        <v>104</v>
      </c>
      <c r="E61" s="14" t="s">
        <v>22</v>
      </c>
      <c r="F61" s="12" t="s">
        <v>105</v>
      </c>
      <c r="G61" s="13">
        <f t="shared" si="0"/>
        <v>0</v>
      </c>
      <c r="H61" s="13">
        <f>SUM(H62:H63)</f>
        <v>0</v>
      </c>
      <c r="I61" s="13">
        <f>SUM(I62:I63)</f>
        <v>0</v>
      </c>
      <c r="J61" s="13">
        <f>SUM(J62:J63)</f>
        <v>0</v>
      </c>
      <c r="K61" s="13">
        <f>SUM(K62:K63)</f>
        <v>0</v>
      </c>
      <c r="L61" s="61"/>
      <c r="M61" s="49"/>
      <c r="P61" s="67"/>
    </row>
    <row r="62" spans="3:16" s="60" customFormat="1" ht="12.75" x14ac:dyDescent="0.2">
      <c r="C62" s="9"/>
      <c r="D62" s="16" t="s">
        <v>106</v>
      </c>
      <c r="E62" s="17"/>
      <c r="F62" s="18" t="s">
        <v>105</v>
      </c>
      <c r="G62" s="19"/>
      <c r="H62" s="19"/>
      <c r="I62" s="19"/>
      <c r="J62" s="19"/>
      <c r="K62" s="19"/>
      <c r="L62" s="61"/>
      <c r="M62" s="49"/>
      <c r="P62" s="67"/>
    </row>
    <row r="63" spans="3:16" s="60" customFormat="1" ht="12.75" x14ac:dyDescent="0.2">
      <c r="C63" s="9"/>
      <c r="D63" s="20"/>
      <c r="E63" s="21" t="s">
        <v>20</v>
      </c>
      <c r="F63" s="22"/>
      <c r="G63" s="22"/>
      <c r="H63" s="22"/>
      <c r="I63" s="22"/>
      <c r="J63" s="22"/>
      <c r="K63" s="23"/>
      <c r="L63" s="61"/>
      <c r="M63" s="49"/>
      <c r="P63" s="67"/>
    </row>
    <row r="64" spans="3:16" s="60" customFormat="1" ht="12.75" x14ac:dyDescent="0.2">
      <c r="C64" s="9"/>
      <c r="D64" s="10" t="s">
        <v>107</v>
      </c>
      <c r="E64" s="14" t="s">
        <v>26</v>
      </c>
      <c r="F64" s="12" t="s">
        <v>108</v>
      </c>
      <c r="G64" s="13">
        <f t="shared" si="0"/>
        <v>9.4877822580645148</v>
      </c>
      <c r="H64" s="13">
        <f>SUM(H65:H68)</f>
        <v>1.4638951612903224</v>
      </c>
      <c r="I64" s="13">
        <f>SUM(I65:I68)</f>
        <v>6.5831438172043013</v>
      </c>
      <c r="J64" s="13">
        <f>SUM(J65:J68)</f>
        <v>1.4407432795698925</v>
      </c>
      <c r="K64" s="13">
        <f>SUM(K65:K68)</f>
        <v>0</v>
      </c>
      <c r="L64" s="61"/>
      <c r="M64" s="49"/>
      <c r="P64" s="67">
        <v>330</v>
      </c>
    </row>
    <row r="65" spans="3:16" s="60" customFormat="1" ht="12.75" x14ac:dyDescent="0.2">
      <c r="C65" s="9"/>
      <c r="D65" s="16" t="s">
        <v>109</v>
      </c>
      <c r="E65" s="17"/>
      <c r="F65" s="18" t="s">
        <v>108</v>
      </c>
      <c r="G65" s="19"/>
      <c r="H65" s="19"/>
      <c r="I65" s="19"/>
      <c r="J65" s="19"/>
      <c r="K65" s="19"/>
      <c r="L65" s="61"/>
      <c r="M65" s="49"/>
      <c r="P65" s="67"/>
    </row>
    <row r="66" spans="3:16" s="60" customFormat="1" ht="15" x14ac:dyDescent="0.25">
      <c r="C66" s="24" t="s">
        <v>29</v>
      </c>
      <c r="D66" s="25" t="s">
        <v>110</v>
      </c>
      <c r="E66" s="26" t="s">
        <v>344</v>
      </c>
      <c r="F66" s="27">
        <v>1461</v>
      </c>
      <c r="G66" s="28">
        <f>SUM(H66:K66)</f>
        <v>8.8148602150537627</v>
      </c>
      <c r="H66" s="29">
        <f>H26/744</f>
        <v>1.4638951612903224</v>
      </c>
      <c r="I66" s="29">
        <f>I26/744</f>
        <v>6.5831438172043013</v>
      </c>
      <c r="J66" s="29">
        <f>J26/744</f>
        <v>0.76782123655913981</v>
      </c>
      <c r="K66" s="29"/>
      <c r="L66" s="61"/>
      <c r="M66" s="69" t="s">
        <v>327</v>
      </c>
      <c r="N66" s="70" t="s">
        <v>328</v>
      </c>
      <c r="O66" s="70" t="s">
        <v>329</v>
      </c>
    </row>
    <row r="67" spans="3:16" s="60" customFormat="1" ht="15" x14ac:dyDescent="0.25">
      <c r="C67" s="24" t="s">
        <v>29</v>
      </c>
      <c r="D67" s="25" t="s">
        <v>343</v>
      </c>
      <c r="E67" s="26" t="s">
        <v>68</v>
      </c>
      <c r="F67" s="27">
        <v>1462</v>
      </c>
      <c r="G67" s="28">
        <f>SUM(H67:K67)</f>
        <v>0.67292204301075265</v>
      </c>
      <c r="H67" s="29"/>
      <c r="I67" s="29"/>
      <c r="J67" s="29">
        <f>J27/744</f>
        <v>0.67292204301075265</v>
      </c>
      <c r="K67" s="30"/>
      <c r="L67" s="61"/>
      <c r="M67" s="69" t="s">
        <v>330</v>
      </c>
      <c r="N67" s="70" t="s">
        <v>328</v>
      </c>
      <c r="O67" s="70" t="s">
        <v>332</v>
      </c>
    </row>
    <row r="68" spans="3:16" s="60" customFormat="1" ht="12.75" x14ac:dyDescent="0.2">
      <c r="C68" s="9"/>
      <c r="D68" s="20"/>
      <c r="E68" s="21" t="s">
        <v>20</v>
      </c>
      <c r="F68" s="22"/>
      <c r="G68" s="22"/>
      <c r="H68" s="22"/>
      <c r="I68" s="22"/>
      <c r="J68" s="22"/>
      <c r="K68" s="23"/>
      <c r="L68" s="61"/>
      <c r="M68" s="49"/>
      <c r="P68" s="67"/>
    </row>
    <row r="69" spans="3:16" s="60" customFormat="1" ht="12.75" x14ac:dyDescent="0.2">
      <c r="C69" s="9"/>
      <c r="D69" s="10" t="s">
        <v>111</v>
      </c>
      <c r="E69" s="11" t="s">
        <v>32</v>
      </c>
      <c r="F69" s="12" t="s">
        <v>112</v>
      </c>
      <c r="G69" s="13">
        <f t="shared" si="0"/>
        <v>5.2037231182795711</v>
      </c>
      <c r="H69" s="13">
        <f>H71+H72+H73</f>
        <v>0</v>
      </c>
      <c r="I69" s="13">
        <f>I70+I72+I73</f>
        <v>0</v>
      </c>
      <c r="J69" s="13">
        <f>J70+J71+J73</f>
        <v>3.2285026881720436</v>
      </c>
      <c r="K69" s="13">
        <f>K70+K71+K72</f>
        <v>1.975220430107528</v>
      </c>
      <c r="L69" s="61"/>
      <c r="M69" s="49"/>
      <c r="P69" s="67">
        <v>340</v>
      </c>
    </row>
    <row r="70" spans="3:16" s="60" customFormat="1" ht="12.75" x14ac:dyDescent="0.2">
      <c r="C70" s="9"/>
      <c r="D70" s="10" t="s">
        <v>113</v>
      </c>
      <c r="E70" s="14" t="s">
        <v>7</v>
      </c>
      <c r="F70" s="12" t="s">
        <v>114</v>
      </c>
      <c r="G70" s="13">
        <f t="shared" si="0"/>
        <v>1.4637405913978494</v>
      </c>
      <c r="H70" s="31"/>
      <c r="I70" s="15"/>
      <c r="J70" s="15">
        <f>J30/744</f>
        <v>1.4637405913978494</v>
      </c>
      <c r="K70" s="15"/>
      <c r="L70" s="61"/>
      <c r="M70" s="49"/>
      <c r="P70" s="67">
        <v>350</v>
      </c>
    </row>
    <row r="71" spans="3:16" s="60" customFormat="1" ht="12.75" x14ac:dyDescent="0.2">
      <c r="C71" s="9"/>
      <c r="D71" s="10" t="s">
        <v>115</v>
      </c>
      <c r="E71" s="14" t="s">
        <v>8</v>
      </c>
      <c r="F71" s="12" t="s">
        <v>116</v>
      </c>
      <c r="G71" s="13">
        <f t="shared" si="0"/>
        <v>1.7647620967741944</v>
      </c>
      <c r="H71" s="15"/>
      <c r="I71" s="38"/>
      <c r="J71" s="15">
        <f>J31/744</f>
        <v>1.7647620967741944</v>
      </c>
      <c r="K71" s="15"/>
      <c r="L71" s="61"/>
      <c r="M71" s="49"/>
      <c r="P71" s="67">
        <v>360</v>
      </c>
    </row>
    <row r="72" spans="3:16" s="60" customFormat="1" ht="12.75" x14ac:dyDescent="0.2">
      <c r="C72" s="9"/>
      <c r="D72" s="10" t="s">
        <v>117</v>
      </c>
      <c r="E72" s="14" t="s">
        <v>9</v>
      </c>
      <c r="F72" s="12" t="s">
        <v>118</v>
      </c>
      <c r="G72" s="13">
        <f t="shared" si="0"/>
        <v>1.975220430107528</v>
      </c>
      <c r="H72" s="15"/>
      <c r="I72" s="15"/>
      <c r="J72" s="31"/>
      <c r="K72" s="15">
        <f>K32/744</f>
        <v>1.975220430107528</v>
      </c>
      <c r="L72" s="61"/>
      <c r="M72" s="49"/>
      <c r="P72" s="67">
        <v>370</v>
      </c>
    </row>
    <row r="73" spans="3:16" s="60" customFormat="1" ht="12.75" x14ac:dyDescent="0.2">
      <c r="C73" s="9"/>
      <c r="D73" s="10" t="s">
        <v>119</v>
      </c>
      <c r="E73" s="14" t="s">
        <v>41</v>
      </c>
      <c r="F73" s="12" t="s">
        <v>120</v>
      </c>
      <c r="G73" s="13">
        <f t="shared" si="0"/>
        <v>0</v>
      </c>
      <c r="H73" s="15"/>
      <c r="I73" s="15"/>
      <c r="J73" s="15"/>
      <c r="K73" s="31"/>
      <c r="L73" s="61"/>
      <c r="M73" s="49"/>
      <c r="P73" s="67">
        <v>380</v>
      </c>
    </row>
    <row r="74" spans="3:16" s="60" customFormat="1" ht="12.75" x14ac:dyDescent="0.2">
      <c r="C74" s="9"/>
      <c r="D74" s="10" t="s">
        <v>121</v>
      </c>
      <c r="E74" s="32" t="s">
        <v>44</v>
      </c>
      <c r="F74" s="12" t="s">
        <v>122</v>
      </c>
      <c r="G74" s="13">
        <f t="shared" si="0"/>
        <v>0</v>
      </c>
      <c r="H74" s="15"/>
      <c r="I74" s="15"/>
      <c r="J74" s="15"/>
      <c r="K74" s="15"/>
      <c r="L74" s="61"/>
      <c r="M74" s="49"/>
      <c r="P74" s="67"/>
    </row>
    <row r="75" spans="3:16" s="60" customFormat="1" ht="12.75" x14ac:dyDescent="0.2">
      <c r="C75" s="9"/>
      <c r="D75" s="10" t="s">
        <v>123</v>
      </c>
      <c r="E75" s="11" t="s">
        <v>47</v>
      </c>
      <c r="F75" s="33" t="s">
        <v>124</v>
      </c>
      <c r="G75" s="13">
        <f t="shared" si="0"/>
        <v>9.3657311827956988</v>
      </c>
      <c r="H75" s="13">
        <f>H76+H78+H81+H85</f>
        <v>0</v>
      </c>
      <c r="I75" s="13">
        <f>I76+I78+I81+I85</f>
        <v>4.7818548387096769</v>
      </c>
      <c r="J75" s="13">
        <f>J76+J78+J81+J85</f>
        <v>2.6635577956989245</v>
      </c>
      <c r="K75" s="13">
        <f>K76+K78+K81+K85</f>
        <v>1.9203185483870968</v>
      </c>
      <c r="L75" s="61"/>
      <c r="M75" s="49"/>
      <c r="P75" s="67">
        <v>390</v>
      </c>
    </row>
    <row r="76" spans="3:16" s="60" customFormat="1" ht="22.5" x14ac:dyDescent="0.2">
      <c r="C76" s="9"/>
      <c r="D76" s="10" t="s">
        <v>125</v>
      </c>
      <c r="E76" s="14" t="s">
        <v>50</v>
      </c>
      <c r="F76" s="12" t="s">
        <v>126</v>
      </c>
      <c r="G76" s="13">
        <f t="shared" si="0"/>
        <v>0</v>
      </c>
      <c r="H76" s="15"/>
      <c r="I76" s="15"/>
      <c r="J76" s="15"/>
      <c r="K76" s="15"/>
      <c r="L76" s="61"/>
      <c r="M76" s="49"/>
      <c r="P76" s="67"/>
    </row>
    <row r="77" spans="3:16" s="60" customFormat="1" ht="12.75" x14ac:dyDescent="0.2">
      <c r="C77" s="9"/>
      <c r="D77" s="10" t="s">
        <v>127</v>
      </c>
      <c r="E77" s="34" t="s">
        <v>53</v>
      </c>
      <c r="F77" s="12" t="s">
        <v>128</v>
      </c>
      <c r="G77" s="13">
        <f t="shared" si="0"/>
        <v>0</v>
      </c>
      <c r="H77" s="15"/>
      <c r="I77" s="15"/>
      <c r="J77" s="15"/>
      <c r="K77" s="15"/>
      <c r="L77" s="61"/>
      <c r="M77" s="49"/>
      <c r="P77" s="67"/>
    </row>
    <row r="78" spans="3:16" s="60" customFormat="1" ht="12.75" x14ac:dyDescent="0.2">
      <c r="C78" s="9"/>
      <c r="D78" s="10" t="s">
        <v>129</v>
      </c>
      <c r="E78" s="14" t="s">
        <v>56</v>
      </c>
      <c r="F78" s="12" t="s">
        <v>130</v>
      </c>
      <c r="G78" s="13">
        <f t="shared" si="0"/>
        <v>5.5981223118279564</v>
      </c>
      <c r="H78" s="15">
        <f>H38/744</f>
        <v>0</v>
      </c>
      <c r="I78" s="15">
        <f>I38/744</f>
        <v>1.0142459677419351</v>
      </c>
      <c r="J78" s="15">
        <f>J38/744</f>
        <v>2.6635577956989245</v>
      </c>
      <c r="K78" s="15">
        <f>K38/744</f>
        <v>1.9203185483870968</v>
      </c>
      <c r="L78" s="61"/>
      <c r="M78" s="49"/>
      <c r="P78" s="67"/>
    </row>
    <row r="79" spans="3:16" s="60" customFormat="1" ht="12.75" x14ac:dyDescent="0.2">
      <c r="C79" s="9"/>
      <c r="D79" s="10" t="s">
        <v>131</v>
      </c>
      <c r="E79" s="34" t="s">
        <v>59</v>
      </c>
      <c r="F79" s="12" t="s">
        <v>132</v>
      </c>
      <c r="G79" s="13">
        <f t="shared" si="0"/>
        <v>0</v>
      </c>
      <c r="H79" s="15"/>
      <c r="I79" s="15"/>
      <c r="J79" s="15"/>
      <c r="K79" s="15"/>
      <c r="L79" s="61"/>
      <c r="M79" s="49"/>
      <c r="P79" s="67"/>
    </row>
    <row r="80" spans="3:16" s="60" customFormat="1" ht="12.75" x14ac:dyDescent="0.2">
      <c r="C80" s="9"/>
      <c r="D80" s="10" t="s">
        <v>133</v>
      </c>
      <c r="E80" s="35" t="s">
        <v>53</v>
      </c>
      <c r="F80" s="12" t="s">
        <v>134</v>
      </c>
      <c r="G80" s="13">
        <f t="shared" si="0"/>
        <v>0</v>
      </c>
      <c r="H80" s="15"/>
      <c r="I80" s="15"/>
      <c r="J80" s="15"/>
      <c r="K80" s="15"/>
      <c r="L80" s="61"/>
      <c r="M80" s="49"/>
      <c r="P80" s="67"/>
    </row>
    <row r="81" spans="3:16" s="60" customFormat="1" ht="12.75" x14ac:dyDescent="0.2">
      <c r="C81" s="9"/>
      <c r="D81" s="10" t="s">
        <v>135</v>
      </c>
      <c r="E81" s="14" t="s">
        <v>64</v>
      </c>
      <c r="F81" s="12" t="s">
        <v>136</v>
      </c>
      <c r="G81" s="13">
        <f t="shared" si="0"/>
        <v>3.767608870967742</v>
      </c>
      <c r="H81" s="13">
        <f>SUM(H82:H84)</f>
        <v>0</v>
      </c>
      <c r="I81" s="13">
        <f>SUM(I82:I84)</f>
        <v>3.767608870967742</v>
      </c>
      <c r="J81" s="13">
        <f>SUM(J82:J84)</f>
        <v>0</v>
      </c>
      <c r="K81" s="13">
        <f>SUM(K82:K84)</f>
        <v>0</v>
      </c>
      <c r="L81" s="61"/>
      <c r="M81" s="49"/>
      <c r="P81" s="67"/>
    </row>
    <row r="82" spans="3:16" s="60" customFormat="1" ht="12.75" x14ac:dyDescent="0.2">
      <c r="C82" s="9"/>
      <c r="D82" s="16" t="s">
        <v>137</v>
      </c>
      <c r="E82" s="17"/>
      <c r="F82" s="18" t="s">
        <v>136</v>
      </c>
      <c r="G82" s="19"/>
      <c r="H82" s="19"/>
      <c r="I82" s="19"/>
      <c r="J82" s="19"/>
      <c r="K82" s="19"/>
      <c r="L82" s="61"/>
      <c r="M82" s="49"/>
      <c r="P82" s="67"/>
    </row>
    <row r="83" spans="3:16" s="60" customFormat="1" ht="15" x14ac:dyDescent="0.25">
      <c r="C83" s="24" t="s">
        <v>29</v>
      </c>
      <c r="D83" s="25" t="s">
        <v>138</v>
      </c>
      <c r="E83" s="26" t="s">
        <v>68</v>
      </c>
      <c r="F83" s="27">
        <v>1781</v>
      </c>
      <c r="G83" s="28">
        <f>SUM(H83:K83)</f>
        <v>3.767608870967742</v>
      </c>
      <c r="H83" s="29"/>
      <c r="I83" s="29">
        <f>I43/744</f>
        <v>3.767608870967742</v>
      </c>
      <c r="J83" s="29"/>
      <c r="K83" s="30"/>
      <c r="L83" s="61"/>
      <c r="M83" s="69" t="s">
        <v>330</v>
      </c>
      <c r="N83" s="70" t="s">
        <v>331</v>
      </c>
      <c r="O83" s="70" t="s">
        <v>332</v>
      </c>
    </row>
    <row r="84" spans="3:16" s="60" customFormat="1" ht="12.75" x14ac:dyDescent="0.2">
      <c r="C84" s="9"/>
      <c r="D84" s="20"/>
      <c r="E84" s="21" t="s">
        <v>20</v>
      </c>
      <c r="F84" s="22"/>
      <c r="G84" s="22"/>
      <c r="H84" s="22"/>
      <c r="I84" s="22"/>
      <c r="J84" s="22"/>
      <c r="K84" s="23"/>
      <c r="L84" s="61"/>
      <c r="M84" s="49"/>
      <c r="P84" s="67"/>
    </row>
    <row r="85" spans="3:16" s="60" customFormat="1" ht="12.75" x14ac:dyDescent="0.2">
      <c r="C85" s="9"/>
      <c r="D85" s="10" t="s">
        <v>139</v>
      </c>
      <c r="E85" s="37" t="s">
        <v>70</v>
      </c>
      <c r="F85" s="12" t="s">
        <v>140</v>
      </c>
      <c r="G85" s="13">
        <f t="shared" si="0"/>
        <v>0</v>
      </c>
      <c r="H85" s="15"/>
      <c r="I85" s="15"/>
      <c r="J85" s="15"/>
      <c r="K85" s="15"/>
      <c r="L85" s="61"/>
      <c r="M85" s="49"/>
      <c r="P85" s="67">
        <v>410</v>
      </c>
    </row>
    <row r="86" spans="3:16" s="60" customFormat="1" ht="12.75" x14ac:dyDescent="0.2">
      <c r="C86" s="9"/>
      <c r="D86" s="10" t="s">
        <v>141</v>
      </c>
      <c r="E86" s="11" t="s">
        <v>73</v>
      </c>
      <c r="F86" s="12" t="s">
        <v>142</v>
      </c>
      <c r="G86" s="13">
        <f t="shared" si="0"/>
        <v>5.203723118279572</v>
      </c>
      <c r="H86" s="15">
        <f>H46/744</f>
        <v>1.4637405913978494</v>
      </c>
      <c r="I86" s="15">
        <f>I46/744</f>
        <v>1.7647620967741944</v>
      </c>
      <c r="J86" s="15">
        <f>J46/744</f>
        <v>1.9752204301075276</v>
      </c>
      <c r="K86" s="15">
        <f>K46/744</f>
        <v>8.8817841970012523E-16</v>
      </c>
      <c r="L86" s="61"/>
      <c r="M86" s="49"/>
      <c r="P86" s="67">
        <v>440</v>
      </c>
    </row>
    <row r="87" spans="3:16" s="60" customFormat="1" ht="12.75" x14ac:dyDescent="0.2">
      <c r="C87" s="9"/>
      <c r="D87" s="10" t="s">
        <v>143</v>
      </c>
      <c r="E87" s="11" t="s">
        <v>76</v>
      </c>
      <c r="F87" s="12" t="s">
        <v>144</v>
      </c>
      <c r="G87" s="13">
        <f t="shared" si="0"/>
        <v>0</v>
      </c>
      <c r="H87" s="15"/>
      <c r="I87" s="15"/>
      <c r="J87" s="15"/>
      <c r="K87" s="15"/>
      <c r="L87" s="61"/>
      <c r="M87" s="49"/>
      <c r="P87" s="67">
        <v>450</v>
      </c>
    </row>
    <row r="88" spans="3:16" s="60" customFormat="1" ht="12.75" x14ac:dyDescent="0.2">
      <c r="C88" s="9"/>
      <c r="D88" s="10" t="s">
        <v>145</v>
      </c>
      <c r="E88" s="11" t="s">
        <v>79</v>
      </c>
      <c r="F88" s="12" t="s">
        <v>146</v>
      </c>
      <c r="G88" s="13">
        <f t="shared" si="0"/>
        <v>0</v>
      </c>
      <c r="H88" s="15"/>
      <c r="I88" s="15"/>
      <c r="J88" s="15"/>
      <c r="K88" s="15"/>
      <c r="L88" s="61"/>
      <c r="M88" s="49"/>
      <c r="P88" s="67">
        <v>470</v>
      </c>
    </row>
    <row r="89" spans="3:16" s="60" customFormat="1" ht="12.75" x14ac:dyDescent="0.2">
      <c r="C89" s="9"/>
      <c r="D89" s="10" t="s">
        <v>147</v>
      </c>
      <c r="E89" s="11" t="s">
        <v>82</v>
      </c>
      <c r="F89" s="12" t="s">
        <v>148</v>
      </c>
      <c r="G89" s="13">
        <f t="shared" si="0"/>
        <v>0.12242741935483872</v>
      </c>
      <c r="H89" s="15">
        <f>H49/744</f>
        <v>1.5456989247311829E-4</v>
      </c>
      <c r="I89" s="15">
        <f>I49/744</f>
        <v>3.6526881720430109E-2</v>
      </c>
      <c r="J89" s="15">
        <f>J49/744</f>
        <v>3.0844086021505377E-2</v>
      </c>
      <c r="K89" s="15">
        <f>K49/744</f>
        <v>5.4901881720430111E-2</v>
      </c>
      <c r="L89" s="61"/>
      <c r="M89" s="49"/>
      <c r="P89" s="67">
        <v>480</v>
      </c>
    </row>
    <row r="90" spans="3:16" s="60" customFormat="1" ht="12.75" x14ac:dyDescent="0.2">
      <c r="C90" s="9"/>
      <c r="D90" s="10" t="s">
        <v>149</v>
      </c>
      <c r="E90" s="14" t="s">
        <v>150</v>
      </c>
      <c r="F90" s="12" t="s">
        <v>151</v>
      </c>
      <c r="G90" s="13">
        <f t="shared" si="0"/>
        <v>0</v>
      </c>
      <c r="H90" s="15"/>
      <c r="I90" s="15"/>
      <c r="J90" s="15"/>
      <c r="K90" s="15"/>
      <c r="L90" s="61"/>
      <c r="M90" s="49"/>
      <c r="P90" s="67">
        <v>490</v>
      </c>
    </row>
    <row r="91" spans="3:16" s="60" customFormat="1" ht="22.5" x14ac:dyDescent="0.2">
      <c r="C91" s="9"/>
      <c r="D91" s="10" t="s">
        <v>152</v>
      </c>
      <c r="E91" s="11" t="s">
        <v>88</v>
      </c>
      <c r="F91" s="12" t="s">
        <v>153</v>
      </c>
      <c r="G91" s="13">
        <f t="shared" si="0"/>
        <v>0.2285456989247312</v>
      </c>
      <c r="H91" s="15"/>
      <c r="I91" s="15">
        <f>I51/744</f>
        <v>5.6405078494623652E-2</v>
      </c>
      <c r="J91" s="15">
        <f>J51/744</f>
        <v>7.5214389516129035E-2</v>
      </c>
      <c r="K91" s="15">
        <f>K51/744</f>
        <v>9.6926230913978492E-2</v>
      </c>
      <c r="L91" s="61"/>
      <c r="M91" s="49"/>
      <c r="P91" s="67"/>
    </row>
    <row r="92" spans="3:16" s="60" customFormat="1" ht="33.75" x14ac:dyDescent="0.2">
      <c r="C92" s="9"/>
      <c r="D92" s="10" t="s">
        <v>154</v>
      </c>
      <c r="E92" s="32" t="s">
        <v>91</v>
      </c>
      <c r="F92" s="12" t="s">
        <v>155</v>
      </c>
      <c r="G92" s="13">
        <f t="shared" si="0"/>
        <v>-0.10611827956989248</v>
      </c>
      <c r="H92" s="13">
        <f>H89-H91</f>
        <v>1.5456989247311829E-4</v>
      </c>
      <c r="I92" s="13">
        <f>I89-I91</f>
        <v>-1.9878196774193543E-2</v>
      </c>
      <c r="J92" s="13">
        <f>J89-J91</f>
        <v>-4.4370303494623661E-2</v>
      </c>
      <c r="K92" s="13">
        <f>K89-K91</f>
        <v>-4.2024349193548381E-2</v>
      </c>
      <c r="L92" s="61"/>
      <c r="M92" s="49"/>
      <c r="P92" s="67"/>
    </row>
    <row r="93" spans="3:16" s="60" customFormat="1" ht="12.75" x14ac:dyDescent="0.2">
      <c r="C93" s="9"/>
      <c r="D93" s="10" t="s">
        <v>156</v>
      </c>
      <c r="E93" s="11" t="s">
        <v>94</v>
      </c>
      <c r="F93" s="12" t="s">
        <v>157</v>
      </c>
      <c r="G93" s="13">
        <f t="shared" si="0"/>
        <v>0</v>
      </c>
      <c r="H93" s="13">
        <f>(H55+H69+H74)-(H75+H86+H87+H88+H89)</f>
        <v>0</v>
      </c>
      <c r="I93" s="13">
        <f>(I55+I69+I74)-(I75+I86+I87+I88+I89)</f>
        <v>0</v>
      </c>
      <c r="J93" s="13">
        <f>(J55+J69+J74)-(J75+J86+J87+J88+J89)</f>
        <v>0</v>
      </c>
      <c r="K93" s="13">
        <f>(K55+K69+K74)-(K75+K86+K87+K88+K89)</f>
        <v>0</v>
      </c>
      <c r="L93" s="61"/>
      <c r="M93" s="49"/>
      <c r="P93" s="67">
        <v>500</v>
      </c>
    </row>
    <row r="94" spans="3:16" s="60" customFormat="1" ht="12.75" x14ac:dyDescent="0.2">
      <c r="C94" s="9"/>
      <c r="D94" s="99" t="s">
        <v>158</v>
      </c>
      <c r="E94" s="100"/>
      <c r="F94" s="100"/>
      <c r="G94" s="100"/>
      <c r="H94" s="100"/>
      <c r="I94" s="100"/>
      <c r="J94" s="100"/>
      <c r="K94" s="101"/>
      <c r="L94" s="61"/>
      <c r="M94" s="49"/>
      <c r="P94" s="68"/>
    </row>
    <row r="95" spans="3:16" s="60" customFormat="1" ht="12.75" x14ac:dyDescent="0.2">
      <c r="C95" s="9"/>
      <c r="D95" s="10" t="s">
        <v>159</v>
      </c>
      <c r="E95" s="11" t="s">
        <v>160</v>
      </c>
      <c r="F95" s="12" t="s">
        <v>161</v>
      </c>
      <c r="G95" s="13">
        <f t="shared" si="0"/>
        <v>0</v>
      </c>
      <c r="H95" s="15"/>
      <c r="I95" s="15"/>
      <c r="J95" s="15"/>
      <c r="K95" s="15"/>
      <c r="L95" s="61"/>
      <c r="M95" s="49"/>
      <c r="P95" s="67">
        <v>600</v>
      </c>
    </row>
    <row r="96" spans="3:16" s="60" customFormat="1" ht="12.75" x14ac:dyDescent="0.2">
      <c r="C96" s="9"/>
      <c r="D96" s="10" t="s">
        <v>162</v>
      </c>
      <c r="E96" s="11" t="s">
        <v>163</v>
      </c>
      <c r="F96" s="12" t="s">
        <v>164</v>
      </c>
      <c r="G96" s="13">
        <f t="shared" si="0"/>
        <v>44.622999999999998</v>
      </c>
      <c r="H96" s="15"/>
      <c r="I96" s="15">
        <v>44.622999999999998</v>
      </c>
      <c r="J96" s="15"/>
      <c r="K96" s="15"/>
      <c r="L96" s="61"/>
      <c r="M96" s="49"/>
      <c r="P96" s="67">
        <v>610</v>
      </c>
    </row>
    <row r="97" spans="3:16" s="60" customFormat="1" ht="12.75" x14ac:dyDescent="0.2">
      <c r="C97" s="9"/>
      <c r="D97" s="10" t="s">
        <v>165</v>
      </c>
      <c r="E97" s="11" t="s">
        <v>166</v>
      </c>
      <c r="F97" s="12" t="s">
        <v>167</v>
      </c>
      <c r="G97" s="13">
        <f t="shared" si="0"/>
        <v>0</v>
      </c>
      <c r="H97" s="15"/>
      <c r="I97" s="15"/>
      <c r="J97" s="15"/>
      <c r="K97" s="15"/>
      <c r="L97" s="61"/>
      <c r="M97" s="49"/>
      <c r="P97" s="67">
        <v>620</v>
      </c>
    </row>
    <row r="98" spans="3:16" s="60" customFormat="1" ht="12.75" x14ac:dyDescent="0.2">
      <c r="C98" s="9"/>
      <c r="D98" s="99" t="s">
        <v>168</v>
      </c>
      <c r="E98" s="100"/>
      <c r="F98" s="100"/>
      <c r="G98" s="100"/>
      <c r="H98" s="100"/>
      <c r="I98" s="100"/>
      <c r="J98" s="100"/>
      <c r="K98" s="101"/>
      <c r="L98" s="61"/>
      <c r="M98" s="49"/>
      <c r="P98" s="68"/>
    </row>
    <row r="99" spans="3:16" s="60" customFormat="1" ht="12.75" x14ac:dyDescent="0.2">
      <c r="C99" s="9"/>
      <c r="D99" s="10" t="s">
        <v>169</v>
      </c>
      <c r="E99" s="11" t="s">
        <v>170</v>
      </c>
      <c r="F99" s="12" t="s">
        <v>171</v>
      </c>
      <c r="G99" s="13">
        <f t="shared" si="0"/>
        <v>0</v>
      </c>
      <c r="H99" s="13">
        <f>SUM(H100:H101)</f>
        <v>0</v>
      </c>
      <c r="I99" s="13">
        <f>SUM(I100:I101)</f>
        <v>0</v>
      </c>
      <c r="J99" s="13">
        <f>SUM(J100:J101)</f>
        <v>0</v>
      </c>
      <c r="K99" s="13">
        <f>SUM(K100:K101)</f>
        <v>0</v>
      </c>
      <c r="L99" s="61"/>
      <c r="M99" s="49"/>
      <c r="P99" s="67">
        <v>700</v>
      </c>
    </row>
    <row r="100" spans="3:16" ht="12.75" x14ac:dyDescent="0.2">
      <c r="C100" s="5"/>
      <c r="D100" s="39" t="s">
        <v>172</v>
      </c>
      <c r="E100" s="14" t="s">
        <v>173</v>
      </c>
      <c r="F100" s="12" t="s">
        <v>174</v>
      </c>
      <c r="G100" s="13">
        <f t="shared" si="0"/>
        <v>0</v>
      </c>
      <c r="H100" s="40"/>
      <c r="I100" s="40"/>
      <c r="J100" s="40"/>
      <c r="K100" s="40"/>
      <c r="L100" s="59"/>
      <c r="M100" s="49"/>
      <c r="P100" s="67">
        <v>710</v>
      </c>
    </row>
    <row r="101" spans="3:16" ht="12.75" x14ac:dyDescent="0.2">
      <c r="C101" s="5"/>
      <c r="D101" s="39" t="s">
        <v>175</v>
      </c>
      <c r="E101" s="14" t="s">
        <v>176</v>
      </c>
      <c r="F101" s="12" t="s">
        <v>177</v>
      </c>
      <c r="G101" s="13">
        <f t="shared" si="0"/>
        <v>0</v>
      </c>
      <c r="H101" s="41">
        <f>H104</f>
        <v>0</v>
      </c>
      <c r="I101" s="41">
        <f>I104</f>
        <v>0</v>
      </c>
      <c r="J101" s="41">
        <f>J104</f>
        <v>0</v>
      </c>
      <c r="K101" s="41">
        <f>K104</f>
        <v>0</v>
      </c>
      <c r="L101" s="59"/>
      <c r="M101" s="49"/>
      <c r="P101" s="67">
        <v>720</v>
      </c>
    </row>
    <row r="102" spans="3:16" ht="12.75" x14ac:dyDescent="0.2">
      <c r="C102" s="5"/>
      <c r="D102" s="39" t="s">
        <v>178</v>
      </c>
      <c r="E102" s="34" t="s">
        <v>179</v>
      </c>
      <c r="F102" s="12" t="s">
        <v>180</v>
      </c>
      <c r="G102" s="13">
        <f t="shared" si="0"/>
        <v>0</v>
      </c>
      <c r="H102" s="40"/>
      <c r="I102" s="40"/>
      <c r="J102" s="40"/>
      <c r="K102" s="40"/>
      <c r="L102" s="59"/>
      <c r="M102" s="49"/>
      <c r="P102" s="67">
        <v>730</v>
      </c>
    </row>
    <row r="103" spans="3:16" ht="12.75" x14ac:dyDescent="0.2">
      <c r="C103" s="5"/>
      <c r="D103" s="39" t="s">
        <v>181</v>
      </c>
      <c r="E103" s="35" t="s">
        <v>182</v>
      </c>
      <c r="F103" s="12" t="s">
        <v>183</v>
      </c>
      <c r="G103" s="13">
        <f t="shared" si="0"/>
        <v>0</v>
      </c>
      <c r="H103" s="40"/>
      <c r="I103" s="40"/>
      <c r="J103" s="40"/>
      <c r="K103" s="40"/>
      <c r="L103" s="59"/>
      <c r="M103" s="49"/>
      <c r="P103" s="67"/>
    </row>
    <row r="104" spans="3:16" ht="12.75" x14ac:dyDescent="0.2">
      <c r="C104" s="5"/>
      <c r="D104" s="39" t="s">
        <v>184</v>
      </c>
      <c r="E104" s="34" t="s">
        <v>185</v>
      </c>
      <c r="F104" s="12" t="s">
        <v>186</v>
      </c>
      <c r="G104" s="13">
        <f t="shared" si="0"/>
        <v>0</v>
      </c>
      <c r="H104" s="40"/>
      <c r="I104" s="40"/>
      <c r="J104" s="40"/>
      <c r="K104" s="40"/>
      <c r="L104" s="59"/>
      <c r="M104" s="49"/>
      <c r="P104" s="67">
        <v>740</v>
      </c>
    </row>
    <row r="105" spans="3:16" ht="12.75" x14ac:dyDescent="0.2">
      <c r="C105" s="5"/>
      <c r="D105" s="39" t="s">
        <v>187</v>
      </c>
      <c r="E105" s="11" t="s">
        <v>188</v>
      </c>
      <c r="F105" s="12" t="s">
        <v>189</v>
      </c>
      <c r="G105" s="13">
        <f t="shared" si="0"/>
        <v>0</v>
      </c>
      <c r="H105" s="41">
        <f>H106+H122</f>
        <v>0</v>
      </c>
      <c r="I105" s="41">
        <f>I106+I122</f>
        <v>0</v>
      </c>
      <c r="J105" s="41">
        <f>J106+J122</f>
        <v>0</v>
      </c>
      <c r="K105" s="41">
        <f>K106+K122</f>
        <v>0</v>
      </c>
      <c r="L105" s="59"/>
      <c r="M105" s="49"/>
      <c r="P105" s="67">
        <v>750</v>
      </c>
    </row>
    <row r="106" spans="3:16" ht="12.75" x14ac:dyDescent="0.2">
      <c r="C106" s="5"/>
      <c r="D106" s="39" t="s">
        <v>190</v>
      </c>
      <c r="E106" s="14" t="s">
        <v>191</v>
      </c>
      <c r="F106" s="12" t="s">
        <v>192</v>
      </c>
      <c r="G106" s="13">
        <f t="shared" si="0"/>
        <v>0</v>
      </c>
      <c r="H106" s="41">
        <f>H107+H108</f>
        <v>0</v>
      </c>
      <c r="I106" s="41">
        <f>I107+I108</f>
        <v>0</v>
      </c>
      <c r="J106" s="41">
        <f>J107+J108</f>
        <v>0</v>
      </c>
      <c r="K106" s="41">
        <f>K107+K108</f>
        <v>0</v>
      </c>
      <c r="L106" s="59"/>
      <c r="M106" s="49"/>
      <c r="P106" s="67">
        <v>760</v>
      </c>
    </row>
    <row r="107" spans="3:16" ht="12.75" x14ac:dyDescent="0.2">
      <c r="C107" s="5"/>
      <c r="D107" s="39" t="s">
        <v>193</v>
      </c>
      <c r="E107" s="34" t="s">
        <v>194</v>
      </c>
      <c r="F107" s="12" t="s">
        <v>195</v>
      </c>
      <c r="G107" s="13">
        <f t="shared" si="0"/>
        <v>0</v>
      </c>
      <c r="H107" s="40"/>
      <c r="I107" s="40"/>
      <c r="J107" s="40"/>
      <c r="K107" s="40"/>
      <c r="L107" s="59"/>
      <c r="M107" s="49"/>
      <c r="P107" s="67"/>
    </row>
    <row r="108" spans="3:16" ht="12.75" x14ac:dyDescent="0.2">
      <c r="C108" s="5"/>
      <c r="D108" s="39" t="s">
        <v>196</v>
      </c>
      <c r="E108" s="34" t="s">
        <v>197</v>
      </c>
      <c r="F108" s="12" t="s">
        <v>198</v>
      </c>
      <c r="G108" s="13">
        <f t="shared" si="0"/>
        <v>0</v>
      </c>
      <c r="H108" s="41">
        <f>H109+H112+H115+H118+H119+H120+H121</f>
        <v>0</v>
      </c>
      <c r="I108" s="41">
        <f>I109+I112+I115+I118+I119+I120+I121</f>
        <v>0</v>
      </c>
      <c r="J108" s="41">
        <f>J109+J112+J115+J118+J119+J120+J121</f>
        <v>0</v>
      </c>
      <c r="K108" s="41">
        <f>K109+K112+K115+K118+K119+K120+K121</f>
        <v>0</v>
      </c>
      <c r="L108" s="59"/>
      <c r="M108" s="49"/>
      <c r="P108" s="67"/>
    </row>
    <row r="109" spans="3:16" ht="45" x14ac:dyDescent="0.2">
      <c r="C109" s="5"/>
      <c r="D109" s="39" t="s">
        <v>199</v>
      </c>
      <c r="E109" s="35" t="s">
        <v>200</v>
      </c>
      <c r="F109" s="12" t="s">
        <v>201</v>
      </c>
      <c r="G109" s="13">
        <f t="shared" si="0"/>
        <v>0</v>
      </c>
      <c r="H109" s="42">
        <f>H110+H111</f>
        <v>0</v>
      </c>
      <c r="I109" s="42">
        <f>I110+I111</f>
        <v>0</v>
      </c>
      <c r="J109" s="42">
        <f>J110+J111</f>
        <v>0</v>
      </c>
      <c r="K109" s="42">
        <f>K110+K111</f>
        <v>0</v>
      </c>
      <c r="L109" s="59"/>
      <c r="M109" s="49"/>
      <c r="P109" s="67"/>
    </row>
    <row r="110" spans="3:16" ht="12.75" x14ac:dyDescent="0.2">
      <c r="C110" s="5"/>
      <c r="D110" s="39" t="s">
        <v>202</v>
      </c>
      <c r="E110" s="43" t="s">
        <v>203</v>
      </c>
      <c r="F110" s="12" t="s">
        <v>204</v>
      </c>
      <c r="G110" s="13">
        <f t="shared" si="0"/>
        <v>0</v>
      </c>
      <c r="H110" s="40"/>
      <c r="I110" s="40"/>
      <c r="J110" s="40"/>
      <c r="K110" s="40"/>
      <c r="L110" s="59"/>
      <c r="M110" s="49"/>
      <c r="P110" s="67"/>
    </row>
    <row r="111" spans="3:16" ht="12.75" x14ac:dyDescent="0.2">
      <c r="C111" s="5"/>
      <c r="D111" s="39" t="s">
        <v>205</v>
      </c>
      <c r="E111" s="43" t="s">
        <v>206</v>
      </c>
      <c r="F111" s="12" t="s">
        <v>207</v>
      </c>
      <c r="G111" s="13">
        <f t="shared" si="0"/>
        <v>0</v>
      </c>
      <c r="H111" s="40"/>
      <c r="I111" s="40"/>
      <c r="J111" s="40"/>
      <c r="K111" s="40"/>
      <c r="L111" s="59"/>
      <c r="M111" s="49"/>
      <c r="P111" s="67"/>
    </row>
    <row r="112" spans="3:16" ht="45" x14ac:dyDescent="0.2">
      <c r="C112" s="5"/>
      <c r="D112" s="39" t="s">
        <v>208</v>
      </c>
      <c r="E112" s="35" t="s">
        <v>209</v>
      </c>
      <c r="F112" s="12" t="s">
        <v>210</v>
      </c>
      <c r="G112" s="13">
        <f t="shared" si="0"/>
        <v>0</v>
      </c>
      <c r="H112" s="42">
        <f>H113+H114</f>
        <v>0</v>
      </c>
      <c r="I112" s="42">
        <f>I113+I114</f>
        <v>0</v>
      </c>
      <c r="J112" s="42">
        <f>J113+J114</f>
        <v>0</v>
      </c>
      <c r="K112" s="42">
        <f>K113+K114</f>
        <v>0</v>
      </c>
      <c r="L112" s="59"/>
      <c r="M112" s="49"/>
      <c r="P112" s="67"/>
    </row>
    <row r="113" spans="3:16" ht="12.75" x14ac:dyDescent="0.2">
      <c r="C113" s="5"/>
      <c r="D113" s="39" t="s">
        <v>211</v>
      </c>
      <c r="E113" s="43" t="s">
        <v>203</v>
      </c>
      <c r="F113" s="12" t="s">
        <v>212</v>
      </c>
      <c r="G113" s="13">
        <f t="shared" si="0"/>
        <v>0</v>
      </c>
      <c r="H113" s="40"/>
      <c r="I113" s="40"/>
      <c r="J113" s="40"/>
      <c r="K113" s="40"/>
      <c r="L113" s="59"/>
      <c r="M113" s="49"/>
      <c r="P113" s="67"/>
    </row>
    <row r="114" spans="3:16" ht="12.75" x14ac:dyDescent="0.2">
      <c r="C114" s="5"/>
      <c r="D114" s="39" t="s">
        <v>213</v>
      </c>
      <c r="E114" s="43" t="s">
        <v>206</v>
      </c>
      <c r="F114" s="12" t="s">
        <v>214</v>
      </c>
      <c r="G114" s="13">
        <f t="shared" si="0"/>
        <v>0</v>
      </c>
      <c r="H114" s="40"/>
      <c r="I114" s="40"/>
      <c r="J114" s="40"/>
      <c r="K114" s="40"/>
      <c r="L114" s="59"/>
      <c r="M114" s="49"/>
      <c r="P114" s="67"/>
    </row>
    <row r="115" spans="3:16" ht="22.5" x14ac:dyDescent="0.2">
      <c r="C115" s="5"/>
      <c r="D115" s="39" t="s">
        <v>215</v>
      </c>
      <c r="E115" s="35" t="s">
        <v>216</v>
      </c>
      <c r="F115" s="12" t="s">
        <v>217</v>
      </c>
      <c r="G115" s="13">
        <f t="shared" si="0"/>
        <v>0</v>
      </c>
      <c r="H115" s="42">
        <f>H116+H117</f>
        <v>0</v>
      </c>
      <c r="I115" s="42">
        <f>I116+I117</f>
        <v>0</v>
      </c>
      <c r="J115" s="42">
        <f>J116+J117</f>
        <v>0</v>
      </c>
      <c r="K115" s="42">
        <f>K116+K117</f>
        <v>0</v>
      </c>
      <c r="L115" s="59"/>
      <c r="M115" s="49"/>
      <c r="P115" s="67"/>
    </row>
    <row r="116" spans="3:16" ht="12.75" x14ac:dyDescent="0.2">
      <c r="C116" s="5"/>
      <c r="D116" s="39" t="s">
        <v>218</v>
      </c>
      <c r="E116" s="43" t="s">
        <v>203</v>
      </c>
      <c r="F116" s="12" t="s">
        <v>219</v>
      </c>
      <c r="G116" s="13">
        <f t="shared" si="0"/>
        <v>0</v>
      </c>
      <c r="H116" s="40"/>
      <c r="I116" s="40"/>
      <c r="J116" s="40"/>
      <c r="K116" s="40"/>
      <c r="L116" s="59"/>
      <c r="M116" s="49"/>
      <c r="P116" s="67"/>
    </row>
    <row r="117" spans="3:16" ht="12.75" x14ac:dyDescent="0.2">
      <c r="C117" s="5"/>
      <c r="D117" s="39" t="s">
        <v>220</v>
      </c>
      <c r="E117" s="43" t="s">
        <v>206</v>
      </c>
      <c r="F117" s="12" t="s">
        <v>221</v>
      </c>
      <c r="G117" s="13">
        <f t="shared" si="0"/>
        <v>0</v>
      </c>
      <c r="H117" s="40"/>
      <c r="I117" s="40"/>
      <c r="J117" s="40"/>
      <c r="K117" s="40"/>
      <c r="L117" s="59"/>
      <c r="M117" s="49"/>
      <c r="P117" s="67"/>
    </row>
    <row r="118" spans="3:16" ht="22.5" x14ac:dyDescent="0.2">
      <c r="C118" s="5"/>
      <c r="D118" s="39" t="s">
        <v>222</v>
      </c>
      <c r="E118" s="35" t="s">
        <v>223</v>
      </c>
      <c r="F118" s="12" t="s">
        <v>224</v>
      </c>
      <c r="G118" s="13">
        <f t="shared" si="0"/>
        <v>0</v>
      </c>
      <c r="H118" s="40"/>
      <c r="I118" s="40"/>
      <c r="J118" s="40"/>
      <c r="K118" s="40"/>
      <c r="L118" s="59"/>
      <c r="M118" s="49"/>
      <c r="P118" s="67"/>
    </row>
    <row r="119" spans="3:16" ht="12.75" x14ac:dyDescent="0.2">
      <c r="C119" s="5"/>
      <c r="D119" s="39" t="s">
        <v>225</v>
      </c>
      <c r="E119" s="35" t="s">
        <v>226</v>
      </c>
      <c r="F119" s="12" t="s">
        <v>227</v>
      </c>
      <c r="G119" s="13">
        <f t="shared" si="0"/>
        <v>0</v>
      </c>
      <c r="H119" s="40"/>
      <c r="I119" s="40"/>
      <c r="J119" s="40"/>
      <c r="K119" s="40"/>
      <c r="L119" s="59"/>
      <c r="M119" s="49"/>
      <c r="P119" s="67"/>
    </row>
    <row r="120" spans="3:16" ht="45" x14ac:dyDescent="0.2">
      <c r="C120" s="5"/>
      <c r="D120" s="39" t="s">
        <v>228</v>
      </c>
      <c r="E120" s="35" t="s">
        <v>229</v>
      </c>
      <c r="F120" s="12" t="s">
        <v>230</v>
      </c>
      <c r="G120" s="13">
        <f t="shared" si="0"/>
        <v>0</v>
      </c>
      <c r="H120" s="40"/>
      <c r="I120" s="40"/>
      <c r="J120" s="40"/>
      <c r="K120" s="40"/>
      <c r="L120" s="59"/>
      <c r="M120" s="49"/>
      <c r="P120" s="67"/>
    </row>
    <row r="121" spans="3:16" ht="22.5" x14ac:dyDescent="0.2">
      <c r="C121" s="5"/>
      <c r="D121" s="39" t="s">
        <v>231</v>
      </c>
      <c r="E121" s="35" t="s">
        <v>232</v>
      </c>
      <c r="F121" s="12" t="s">
        <v>233</v>
      </c>
      <c r="G121" s="13">
        <f t="shared" si="0"/>
        <v>0</v>
      </c>
      <c r="H121" s="40"/>
      <c r="I121" s="40"/>
      <c r="J121" s="40"/>
      <c r="K121" s="40"/>
      <c r="L121" s="59"/>
      <c r="M121" s="49"/>
      <c r="P121" s="67"/>
    </row>
    <row r="122" spans="3:16" ht="12.75" x14ac:dyDescent="0.2">
      <c r="C122" s="5"/>
      <c r="D122" s="39" t="s">
        <v>234</v>
      </c>
      <c r="E122" s="14" t="s">
        <v>235</v>
      </c>
      <c r="F122" s="12" t="s">
        <v>236</v>
      </c>
      <c r="G122" s="13">
        <f t="shared" si="0"/>
        <v>0</v>
      </c>
      <c r="H122" s="41">
        <f>H125</f>
        <v>0</v>
      </c>
      <c r="I122" s="41">
        <f>I125</f>
        <v>0</v>
      </c>
      <c r="J122" s="41">
        <f>J125</f>
        <v>0</v>
      </c>
      <c r="K122" s="41">
        <f>K125</f>
        <v>0</v>
      </c>
      <c r="L122" s="59"/>
      <c r="M122" s="49"/>
      <c r="P122" s="67">
        <v>770</v>
      </c>
    </row>
    <row r="123" spans="3:16" ht="12.75" x14ac:dyDescent="0.2">
      <c r="C123" s="5"/>
      <c r="D123" s="39" t="s">
        <v>237</v>
      </c>
      <c r="E123" s="34" t="s">
        <v>179</v>
      </c>
      <c r="F123" s="12" t="s">
        <v>238</v>
      </c>
      <c r="G123" s="13">
        <f t="shared" si="0"/>
        <v>0</v>
      </c>
      <c r="H123" s="40"/>
      <c r="I123" s="40"/>
      <c r="J123" s="40"/>
      <c r="K123" s="40"/>
      <c r="L123" s="59"/>
      <c r="M123" s="49"/>
      <c r="P123" s="67">
        <v>780</v>
      </c>
    </row>
    <row r="124" spans="3:16" ht="12.75" x14ac:dyDescent="0.2">
      <c r="C124" s="5"/>
      <c r="D124" s="39" t="s">
        <v>239</v>
      </c>
      <c r="E124" s="35" t="s">
        <v>240</v>
      </c>
      <c r="F124" s="12" t="s">
        <v>241</v>
      </c>
      <c r="G124" s="13">
        <f t="shared" si="0"/>
        <v>0</v>
      </c>
      <c r="H124" s="40"/>
      <c r="I124" s="40"/>
      <c r="J124" s="40"/>
      <c r="K124" s="40"/>
      <c r="L124" s="59"/>
      <c r="M124" s="49"/>
      <c r="P124" s="67"/>
    </row>
    <row r="125" spans="3:16" ht="12.75" x14ac:dyDescent="0.2">
      <c r="C125" s="5"/>
      <c r="D125" s="39" t="s">
        <v>242</v>
      </c>
      <c r="E125" s="34" t="s">
        <v>185</v>
      </c>
      <c r="F125" s="12" t="s">
        <v>243</v>
      </c>
      <c r="G125" s="13">
        <f t="shared" si="0"/>
        <v>0</v>
      </c>
      <c r="H125" s="40"/>
      <c r="I125" s="40"/>
      <c r="J125" s="40"/>
      <c r="K125" s="40"/>
      <c r="L125" s="59"/>
      <c r="M125" s="49"/>
      <c r="P125" s="67">
        <v>790</v>
      </c>
    </row>
    <row r="126" spans="3:16" ht="22.5" x14ac:dyDescent="0.2">
      <c r="C126" s="5"/>
      <c r="D126" s="39" t="s">
        <v>244</v>
      </c>
      <c r="E126" s="32" t="s">
        <v>245</v>
      </c>
      <c r="F126" s="12" t="s">
        <v>246</v>
      </c>
      <c r="G126" s="13">
        <f t="shared" si="0"/>
        <v>7059.1900000000005</v>
      </c>
      <c r="H126" s="41">
        <f>SUM(H127:H128)</f>
        <v>0.115</v>
      </c>
      <c r="I126" s="41">
        <f>SUM(I127:I128)</f>
        <v>3642.7069999999999</v>
      </c>
      <c r="J126" s="41">
        <f>SUM(J127:J128)</f>
        <v>1987.6509999999998</v>
      </c>
      <c r="K126" s="41">
        <f>SUM(K127:K128)</f>
        <v>1428.7170000000001</v>
      </c>
      <c r="L126" s="59"/>
      <c r="M126" s="49"/>
      <c r="P126" s="67"/>
    </row>
    <row r="127" spans="3:16" ht="12.75" x14ac:dyDescent="0.2">
      <c r="C127" s="5"/>
      <c r="D127" s="39" t="s">
        <v>247</v>
      </c>
      <c r="E127" s="14" t="s">
        <v>173</v>
      </c>
      <c r="F127" s="12" t="s">
        <v>248</v>
      </c>
      <c r="G127" s="13">
        <f t="shared" si="0"/>
        <v>0</v>
      </c>
      <c r="H127" s="40"/>
      <c r="I127" s="40"/>
      <c r="J127" s="40"/>
      <c r="K127" s="40"/>
      <c r="L127" s="59"/>
      <c r="M127" s="49"/>
      <c r="P127" s="67"/>
    </row>
    <row r="128" spans="3:16" ht="12.75" x14ac:dyDescent="0.2">
      <c r="C128" s="5"/>
      <c r="D128" s="39" t="s">
        <v>249</v>
      </c>
      <c r="E128" s="14" t="s">
        <v>176</v>
      </c>
      <c r="F128" s="12" t="s">
        <v>250</v>
      </c>
      <c r="G128" s="13">
        <f t="shared" si="0"/>
        <v>7059.1900000000005</v>
      </c>
      <c r="H128" s="41">
        <f>H130</f>
        <v>0.115</v>
      </c>
      <c r="I128" s="41">
        <f>I130</f>
        <v>3642.7069999999999</v>
      </c>
      <c r="J128" s="41">
        <f>J130</f>
        <v>1987.6509999999998</v>
      </c>
      <c r="K128" s="41">
        <f>K130</f>
        <v>1428.7170000000001</v>
      </c>
      <c r="L128" s="59"/>
      <c r="M128" s="49"/>
      <c r="P128" s="67"/>
    </row>
    <row r="129" spans="3:16" ht="12.75" x14ac:dyDescent="0.2">
      <c r="C129" s="5"/>
      <c r="D129" s="39" t="s">
        <v>251</v>
      </c>
      <c r="E129" s="34" t="s">
        <v>252</v>
      </c>
      <c r="F129" s="12" t="s">
        <v>253</v>
      </c>
      <c r="G129" s="13">
        <f t="shared" si="0"/>
        <v>44.622999999999998</v>
      </c>
      <c r="H129" s="40"/>
      <c r="I129" s="40">
        <f>I96</f>
        <v>44.622999999999998</v>
      </c>
      <c r="J129" s="40"/>
      <c r="K129" s="40"/>
      <c r="L129" s="59"/>
      <c r="M129" s="49"/>
      <c r="P129" s="67"/>
    </row>
    <row r="130" spans="3:16" ht="12.75" x14ac:dyDescent="0.2">
      <c r="C130" s="5"/>
      <c r="D130" s="39" t="s">
        <v>254</v>
      </c>
      <c r="E130" s="34" t="s">
        <v>185</v>
      </c>
      <c r="F130" s="12" t="s">
        <v>255</v>
      </c>
      <c r="G130" s="13">
        <f t="shared" si="0"/>
        <v>7059.1900000000005</v>
      </c>
      <c r="H130" s="40">
        <f>H49+H35</f>
        <v>0.115</v>
      </c>
      <c r="I130" s="40">
        <f>I35+85.007</f>
        <v>3642.7069999999999</v>
      </c>
      <c r="J130" s="40">
        <f>J35+3.135+2.829</f>
        <v>1987.6509999999998</v>
      </c>
      <c r="K130" s="40">
        <f>K35</f>
        <v>1428.7170000000001</v>
      </c>
      <c r="L130" s="59"/>
      <c r="M130" s="49"/>
      <c r="P130" s="67"/>
    </row>
    <row r="131" spans="3:16" ht="12.75" x14ac:dyDescent="0.2">
      <c r="C131" s="5"/>
      <c r="D131" s="99" t="s">
        <v>256</v>
      </c>
      <c r="E131" s="100"/>
      <c r="F131" s="100"/>
      <c r="G131" s="100"/>
      <c r="H131" s="100"/>
      <c r="I131" s="100"/>
      <c r="J131" s="100"/>
      <c r="K131" s="101"/>
      <c r="L131" s="59"/>
      <c r="M131" s="49"/>
      <c r="P131" s="71"/>
    </row>
    <row r="132" spans="3:16" ht="22.5" x14ac:dyDescent="0.2">
      <c r="C132" s="5"/>
      <c r="D132" s="39" t="s">
        <v>257</v>
      </c>
      <c r="E132" s="11" t="s">
        <v>258</v>
      </c>
      <c r="F132" s="12" t="s">
        <v>259</v>
      </c>
      <c r="G132" s="13">
        <f t="shared" si="0"/>
        <v>0</v>
      </c>
      <c r="H132" s="41">
        <f>SUM( H133:H134)</f>
        <v>0</v>
      </c>
      <c r="I132" s="41">
        <f>SUM( I133:I134)</f>
        <v>0</v>
      </c>
      <c r="J132" s="41">
        <f>SUM( J133:J134)</f>
        <v>0</v>
      </c>
      <c r="K132" s="41">
        <f>SUM( K133:K134)</f>
        <v>0</v>
      </c>
      <c r="L132" s="59"/>
      <c r="M132" s="49"/>
      <c r="P132" s="67">
        <v>800</v>
      </c>
    </row>
    <row r="133" spans="3:16" ht="12.75" x14ac:dyDescent="0.2">
      <c r="C133" s="5"/>
      <c r="D133" s="39" t="s">
        <v>260</v>
      </c>
      <c r="E133" s="14" t="s">
        <v>173</v>
      </c>
      <c r="F133" s="12" t="s">
        <v>261</v>
      </c>
      <c r="G133" s="13">
        <f t="shared" si="0"/>
        <v>0</v>
      </c>
      <c r="H133" s="40"/>
      <c r="I133" s="40"/>
      <c r="J133" s="40"/>
      <c r="K133" s="40"/>
      <c r="L133" s="59"/>
      <c r="M133" s="49"/>
      <c r="P133" s="67">
        <v>810</v>
      </c>
    </row>
    <row r="134" spans="3:16" ht="12.75" x14ac:dyDescent="0.2">
      <c r="C134" s="5"/>
      <c r="D134" s="39" t="s">
        <v>262</v>
      </c>
      <c r="E134" s="14" t="s">
        <v>176</v>
      </c>
      <c r="F134" s="12" t="s">
        <v>263</v>
      </c>
      <c r="G134" s="13">
        <f t="shared" si="0"/>
        <v>0</v>
      </c>
      <c r="H134" s="41">
        <f>H135+H137</f>
        <v>0</v>
      </c>
      <c r="I134" s="41">
        <f>I135+I137</f>
        <v>0</v>
      </c>
      <c r="J134" s="41">
        <f>J135+J137</f>
        <v>0</v>
      </c>
      <c r="K134" s="41">
        <f>K135+K137</f>
        <v>0</v>
      </c>
      <c r="L134" s="59"/>
      <c r="M134" s="49"/>
      <c r="P134" s="67">
        <v>820</v>
      </c>
    </row>
    <row r="135" spans="3:16" ht="12.75" x14ac:dyDescent="0.2">
      <c r="C135" s="5"/>
      <c r="D135" s="39" t="s">
        <v>264</v>
      </c>
      <c r="E135" s="34" t="s">
        <v>265</v>
      </c>
      <c r="F135" s="12" t="s">
        <v>266</v>
      </c>
      <c r="G135" s="13">
        <f t="shared" si="0"/>
        <v>0</v>
      </c>
      <c r="H135" s="40"/>
      <c r="I135" s="40"/>
      <c r="J135" s="40"/>
      <c r="K135" s="40"/>
      <c r="L135" s="59"/>
      <c r="M135" s="49"/>
      <c r="P135" s="67">
        <v>830</v>
      </c>
    </row>
    <row r="136" spans="3:16" ht="12.75" x14ac:dyDescent="0.2">
      <c r="C136" s="5"/>
      <c r="D136" s="39" t="s">
        <v>267</v>
      </c>
      <c r="E136" s="35" t="s">
        <v>268</v>
      </c>
      <c r="F136" s="12" t="s">
        <v>269</v>
      </c>
      <c r="G136" s="13">
        <f t="shared" si="0"/>
        <v>0</v>
      </c>
      <c r="H136" s="40"/>
      <c r="I136" s="40"/>
      <c r="J136" s="40"/>
      <c r="K136" s="40"/>
      <c r="L136" s="59"/>
      <c r="M136" s="49"/>
      <c r="P136" s="71"/>
    </row>
    <row r="137" spans="3:16" ht="12.75" x14ac:dyDescent="0.2">
      <c r="C137" s="5"/>
      <c r="D137" s="39" t="s">
        <v>270</v>
      </c>
      <c r="E137" s="34" t="s">
        <v>271</v>
      </c>
      <c r="F137" s="12" t="s">
        <v>272</v>
      </c>
      <c r="G137" s="13">
        <f t="shared" si="0"/>
        <v>0</v>
      </c>
      <c r="H137" s="40"/>
      <c r="I137" s="40"/>
      <c r="J137" s="40"/>
      <c r="K137" s="40"/>
      <c r="L137" s="59"/>
      <c r="M137" s="49"/>
      <c r="P137" s="67">
        <v>840</v>
      </c>
    </row>
    <row r="138" spans="3:16" ht="12.75" x14ac:dyDescent="0.2">
      <c r="C138" s="5"/>
      <c r="D138" s="39" t="s">
        <v>19</v>
      </c>
      <c r="E138" s="11" t="s">
        <v>273</v>
      </c>
      <c r="F138" s="12" t="s">
        <v>274</v>
      </c>
      <c r="G138" s="13">
        <f t="shared" si="0"/>
        <v>0</v>
      </c>
      <c r="H138" s="42">
        <f>SUM( H139+H144)</f>
        <v>0</v>
      </c>
      <c r="I138" s="42">
        <f>SUM( I139+I144)</f>
        <v>0</v>
      </c>
      <c r="J138" s="42">
        <f>SUM( J139+J144)</f>
        <v>0</v>
      </c>
      <c r="K138" s="42">
        <f>SUM( K139+K144)</f>
        <v>0</v>
      </c>
      <c r="L138" s="62"/>
      <c r="M138" s="49"/>
      <c r="P138" s="67">
        <v>850</v>
      </c>
    </row>
    <row r="139" spans="3:16" ht="12.75" x14ac:dyDescent="0.2">
      <c r="C139" s="5"/>
      <c r="D139" s="39" t="s">
        <v>275</v>
      </c>
      <c r="E139" s="14" t="s">
        <v>173</v>
      </c>
      <c r="F139" s="12" t="s">
        <v>276</v>
      </c>
      <c r="G139" s="13">
        <f t="shared" ref="G139:G152" si="1">SUM(H139:K139)</f>
        <v>0</v>
      </c>
      <c r="H139" s="42">
        <f>SUM( H140:H141)</f>
        <v>0</v>
      </c>
      <c r="I139" s="42">
        <f>SUM( I140:I141)</f>
        <v>0</v>
      </c>
      <c r="J139" s="42">
        <f>SUM( J140:J141)</f>
        <v>0</v>
      </c>
      <c r="K139" s="42">
        <f>SUM( K140:K141)</f>
        <v>0</v>
      </c>
      <c r="L139" s="62"/>
      <c r="M139" s="49"/>
      <c r="P139" s="67">
        <v>860</v>
      </c>
    </row>
    <row r="140" spans="3:16" ht="12.75" x14ac:dyDescent="0.2">
      <c r="C140" s="5"/>
      <c r="D140" s="39" t="s">
        <v>277</v>
      </c>
      <c r="E140" s="34" t="s">
        <v>194</v>
      </c>
      <c r="F140" s="12" t="s">
        <v>278</v>
      </c>
      <c r="G140" s="13">
        <f t="shared" si="1"/>
        <v>0</v>
      </c>
      <c r="H140" s="44"/>
      <c r="I140" s="44"/>
      <c r="J140" s="44"/>
      <c r="K140" s="44"/>
      <c r="L140" s="62"/>
      <c r="M140" s="49"/>
      <c r="P140" s="67"/>
    </row>
    <row r="141" spans="3:16" ht="12.75" x14ac:dyDescent="0.2">
      <c r="C141" s="5"/>
      <c r="D141" s="39" t="s">
        <v>279</v>
      </c>
      <c r="E141" s="34" t="s">
        <v>197</v>
      </c>
      <c r="F141" s="12" t="s">
        <v>280</v>
      </c>
      <c r="G141" s="13">
        <f t="shared" si="1"/>
        <v>0</v>
      </c>
      <c r="H141" s="42">
        <f>H142+H143</f>
        <v>0</v>
      </c>
      <c r="I141" s="42">
        <f>I142+I143</f>
        <v>0</v>
      </c>
      <c r="J141" s="42">
        <f>J142+J143</f>
        <v>0</v>
      </c>
      <c r="K141" s="42">
        <f>K142+K143</f>
        <v>0</v>
      </c>
      <c r="L141" s="62"/>
      <c r="M141" s="49"/>
      <c r="P141" s="67"/>
    </row>
    <row r="142" spans="3:16" ht="12.75" x14ac:dyDescent="0.2">
      <c r="C142" s="5"/>
      <c r="D142" s="39" t="s">
        <v>281</v>
      </c>
      <c r="E142" s="35" t="s">
        <v>203</v>
      </c>
      <c r="F142" s="12" t="s">
        <v>282</v>
      </c>
      <c r="G142" s="13">
        <f t="shared" si="1"/>
        <v>0</v>
      </c>
      <c r="H142" s="44"/>
      <c r="I142" s="44"/>
      <c r="J142" s="44"/>
      <c r="K142" s="44"/>
      <c r="L142" s="62"/>
      <c r="M142" s="49"/>
      <c r="P142" s="67"/>
    </row>
    <row r="143" spans="3:16" ht="12.75" x14ac:dyDescent="0.2">
      <c r="C143" s="5"/>
      <c r="D143" s="39" t="s">
        <v>283</v>
      </c>
      <c r="E143" s="35" t="s">
        <v>284</v>
      </c>
      <c r="F143" s="12" t="s">
        <v>285</v>
      </c>
      <c r="G143" s="13">
        <f t="shared" si="1"/>
        <v>0</v>
      </c>
      <c r="H143" s="44"/>
      <c r="I143" s="44"/>
      <c r="J143" s="44"/>
      <c r="K143" s="44"/>
      <c r="L143" s="62"/>
      <c r="M143" s="49"/>
      <c r="P143" s="67"/>
    </row>
    <row r="144" spans="3:16" ht="12.75" x14ac:dyDescent="0.2">
      <c r="C144" s="5"/>
      <c r="D144" s="39" t="s">
        <v>286</v>
      </c>
      <c r="E144" s="14" t="s">
        <v>235</v>
      </c>
      <c r="F144" s="12" t="s">
        <v>287</v>
      </c>
      <c r="G144" s="13">
        <f t="shared" si="1"/>
        <v>0</v>
      </c>
      <c r="H144" s="42">
        <f>H145+H147</f>
        <v>0</v>
      </c>
      <c r="I144" s="42">
        <f>I145+I147</f>
        <v>0</v>
      </c>
      <c r="J144" s="42">
        <f>J145+J147</f>
        <v>0</v>
      </c>
      <c r="K144" s="42">
        <f>K145+K147</f>
        <v>0</v>
      </c>
      <c r="L144" s="62"/>
      <c r="M144" s="49"/>
      <c r="P144" s="67">
        <v>870</v>
      </c>
    </row>
    <row r="145" spans="3:19" ht="12.75" x14ac:dyDescent="0.2">
      <c r="C145" s="5"/>
      <c r="D145" s="39" t="s">
        <v>288</v>
      </c>
      <c r="E145" s="34" t="s">
        <v>265</v>
      </c>
      <c r="F145" s="12" t="s">
        <v>289</v>
      </c>
      <c r="G145" s="13">
        <f t="shared" si="1"/>
        <v>0</v>
      </c>
      <c r="H145" s="40"/>
      <c r="I145" s="40"/>
      <c r="J145" s="40"/>
      <c r="K145" s="40"/>
      <c r="L145" s="62"/>
      <c r="M145" s="49"/>
      <c r="P145" s="67">
        <v>880</v>
      </c>
    </row>
    <row r="146" spans="3:19" ht="12.75" x14ac:dyDescent="0.2">
      <c r="C146" s="5"/>
      <c r="D146" s="39" t="s">
        <v>290</v>
      </c>
      <c r="E146" s="35" t="s">
        <v>268</v>
      </c>
      <c r="F146" s="12" t="s">
        <v>291</v>
      </c>
      <c r="G146" s="13">
        <f t="shared" si="1"/>
        <v>0</v>
      </c>
      <c r="H146" s="40"/>
      <c r="I146" s="40"/>
      <c r="J146" s="40"/>
      <c r="K146" s="40"/>
      <c r="L146" s="62"/>
      <c r="M146" s="49"/>
      <c r="P146" s="67"/>
    </row>
    <row r="147" spans="3:19" ht="12.75" x14ac:dyDescent="0.2">
      <c r="C147" s="5"/>
      <c r="D147" s="39" t="s">
        <v>292</v>
      </c>
      <c r="E147" s="34" t="s">
        <v>271</v>
      </c>
      <c r="F147" s="12" t="s">
        <v>293</v>
      </c>
      <c r="G147" s="13">
        <f t="shared" si="1"/>
        <v>0</v>
      </c>
      <c r="H147" s="45"/>
      <c r="I147" s="45"/>
      <c r="J147" s="45"/>
      <c r="K147" s="45"/>
      <c r="L147" s="62"/>
      <c r="M147" s="49"/>
      <c r="P147" s="67">
        <v>890</v>
      </c>
    </row>
    <row r="148" spans="3:19" ht="22.5" x14ac:dyDescent="0.2">
      <c r="C148" s="5"/>
      <c r="D148" s="39" t="s">
        <v>294</v>
      </c>
      <c r="E148" s="11" t="s">
        <v>295</v>
      </c>
      <c r="F148" s="12" t="s">
        <v>296</v>
      </c>
      <c r="G148" s="13">
        <f t="shared" si="1"/>
        <v>3767.3984694360001</v>
      </c>
      <c r="H148" s="46">
        <f>SUM( H149:H150)</f>
        <v>1.2206100000000003E-2</v>
      </c>
      <c r="I148" s="46">
        <f>SUM( I149:I150)</f>
        <v>3404.7729638159999</v>
      </c>
      <c r="J148" s="46">
        <f>SUM( J149:J150)</f>
        <v>210.96927714</v>
      </c>
      <c r="K148" s="46">
        <f>SUM( K149:K150)</f>
        <v>151.64402238</v>
      </c>
      <c r="L148" s="62"/>
      <c r="M148" s="49"/>
      <c r="P148" s="67">
        <v>900</v>
      </c>
    </row>
    <row r="149" spans="3:19" ht="12.75" x14ac:dyDescent="0.2">
      <c r="C149" s="5"/>
      <c r="D149" s="39" t="s">
        <v>297</v>
      </c>
      <c r="E149" s="14" t="s">
        <v>173</v>
      </c>
      <c r="F149" s="12" t="s">
        <v>298</v>
      </c>
      <c r="G149" s="13">
        <f t="shared" si="1"/>
        <v>0</v>
      </c>
      <c r="H149" s="45"/>
      <c r="I149" s="45"/>
      <c r="J149" s="45"/>
      <c r="K149" s="45"/>
      <c r="L149" s="62"/>
      <c r="M149" s="49"/>
      <c r="P149" s="67"/>
    </row>
    <row r="150" spans="3:19" ht="12.75" x14ac:dyDescent="0.2">
      <c r="C150" s="5"/>
      <c r="D150" s="39" t="s">
        <v>299</v>
      </c>
      <c r="E150" s="14" t="s">
        <v>176</v>
      </c>
      <c r="F150" s="12" t="s">
        <v>300</v>
      </c>
      <c r="G150" s="13">
        <f t="shared" si="1"/>
        <v>3767.3984694360001</v>
      </c>
      <c r="H150" s="46">
        <f>H151+H152</f>
        <v>1.2206100000000003E-2</v>
      </c>
      <c r="I150" s="46">
        <f>I151+I152</f>
        <v>3404.7729638159999</v>
      </c>
      <c r="J150" s="46">
        <f>J151+J152</f>
        <v>210.96927714</v>
      </c>
      <c r="K150" s="46">
        <f>K151+K152</f>
        <v>151.64402238</v>
      </c>
      <c r="L150" s="62"/>
      <c r="M150" s="49"/>
      <c r="P150" s="67"/>
    </row>
    <row r="151" spans="3:19" ht="12.75" x14ac:dyDescent="0.2">
      <c r="C151" s="5"/>
      <c r="D151" s="39" t="s">
        <v>301</v>
      </c>
      <c r="E151" s="34" t="s">
        <v>302</v>
      </c>
      <c r="F151" s="12" t="s">
        <v>303</v>
      </c>
      <c r="G151" s="13">
        <f t="shared" si="1"/>
        <v>3018.1360428359999</v>
      </c>
      <c r="H151" s="45"/>
      <c r="I151" s="45">
        <f>I129*56363.61/1000*1.2</f>
        <v>3018.1360428359999</v>
      </c>
      <c r="J151" s="45"/>
      <c r="K151" s="45"/>
      <c r="L151" s="62"/>
      <c r="M151" s="49"/>
      <c r="P151" s="67" t="s">
        <v>333</v>
      </c>
    </row>
    <row r="152" spans="3:19" ht="12.75" x14ac:dyDescent="0.2">
      <c r="C152" s="5"/>
      <c r="D152" s="39" t="s">
        <v>304</v>
      </c>
      <c r="E152" s="34" t="s">
        <v>271</v>
      </c>
      <c r="F152" s="12" t="s">
        <v>305</v>
      </c>
      <c r="G152" s="13">
        <f t="shared" si="1"/>
        <v>749.26242660000003</v>
      </c>
      <c r="H152" s="45">
        <f>H130*88.45/1000*1.2</f>
        <v>1.2206100000000003E-2</v>
      </c>
      <c r="I152" s="45">
        <f>I130*88.45/1000*1.2</f>
        <v>386.63692097999996</v>
      </c>
      <c r="J152" s="45">
        <f>J130*88.45/1000*1.2</f>
        <v>210.96927714</v>
      </c>
      <c r="K152" s="45">
        <f>K130*88.45/1000*1.2</f>
        <v>151.64402238</v>
      </c>
      <c r="L152" s="62"/>
      <c r="M152" s="49"/>
      <c r="P152" s="67" t="s">
        <v>334</v>
      </c>
    </row>
    <row r="153" spans="3:19" x14ac:dyDescent="0.25">
      <c r="D153" s="4"/>
      <c r="E153" s="47"/>
      <c r="F153" s="47"/>
      <c r="G153" s="47"/>
      <c r="H153" s="47"/>
      <c r="I153" s="47"/>
      <c r="J153" s="47"/>
      <c r="K153" s="48"/>
      <c r="L153" s="48"/>
      <c r="M153" s="48"/>
      <c r="N153" s="48"/>
      <c r="O153" s="48"/>
      <c r="P153" s="48"/>
      <c r="Q153" s="48"/>
      <c r="R153" s="63"/>
      <c r="S153" s="63"/>
    </row>
    <row r="154" spans="3:19" ht="12.75" x14ac:dyDescent="0.2">
      <c r="E154" s="49" t="s">
        <v>306</v>
      </c>
      <c r="F154" s="108" t="str">
        <f>IF([6]Титульный!G45="","",[6]Титульный!G45)</f>
        <v>экономист</v>
      </c>
      <c r="G154" s="108"/>
      <c r="H154" s="50"/>
      <c r="I154" s="108" t="str">
        <f>IF([6]Титульный!G44="","",[6]Титульный!G44)</f>
        <v>Кривнева Е. В.</v>
      </c>
      <c r="J154" s="108"/>
      <c r="K154" s="108"/>
      <c r="L154" s="50"/>
      <c r="M154" s="72"/>
      <c r="N154" s="72"/>
      <c r="O154" s="52"/>
      <c r="P154" s="48"/>
      <c r="Q154" s="48"/>
      <c r="R154" s="63"/>
      <c r="S154" s="63"/>
    </row>
    <row r="155" spans="3:19" ht="12.75" x14ac:dyDescent="0.2">
      <c r="E155" s="51" t="s">
        <v>307</v>
      </c>
      <c r="F155" s="109" t="s">
        <v>308</v>
      </c>
      <c r="G155" s="109"/>
      <c r="H155" s="52"/>
      <c r="I155" s="109" t="s">
        <v>309</v>
      </c>
      <c r="J155" s="109"/>
      <c r="K155" s="109"/>
      <c r="L155" s="52"/>
      <c r="M155" s="109" t="s">
        <v>335</v>
      </c>
      <c r="N155" s="109"/>
      <c r="O155" s="49"/>
      <c r="P155" s="48"/>
      <c r="Q155" s="48"/>
      <c r="R155" s="63"/>
      <c r="S155" s="63"/>
    </row>
    <row r="156" spans="3:19" ht="12.75" x14ac:dyDescent="0.2">
      <c r="E156" s="51" t="s">
        <v>310</v>
      </c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8"/>
      <c r="Q156" s="48"/>
      <c r="R156" s="63"/>
      <c r="S156" s="63"/>
    </row>
    <row r="157" spans="3:19" ht="12.75" x14ac:dyDescent="0.2">
      <c r="E157" s="51" t="s">
        <v>311</v>
      </c>
      <c r="F157" s="108" t="str">
        <f>IF([6]Титульный!G46="","",[6]Титульный!G46)</f>
        <v>(861) 258-50-71</v>
      </c>
      <c r="G157" s="108"/>
      <c r="H157" s="108"/>
      <c r="I157" s="49"/>
      <c r="J157" s="51" t="s">
        <v>312</v>
      </c>
      <c r="K157" s="92"/>
      <c r="L157" s="49"/>
      <c r="M157" s="49"/>
      <c r="N157" s="49"/>
      <c r="O157" s="49"/>
      <c r="P157" s="48"/>
      <c r="Q157" s="48"/>
      <c r="R157" s="63"/>
      <c r="S157" s="63"/>
    </row>
    <row r="158" spans="3:19" ht="12.75" x14ac:dyDescent="0.2">
      <c r="E158" s="49" t="s">
        <v>313</v>
      </c>
      <c r="F158" s="110" t="s">
        <v>314</v>
      </c>
      <c r="G158" s="110"/>
      <c r="H158" s="110"/>
      <c r="I158" s="49"/>
      <c r="J158" s="53" t="s">
        <v>315</v>
      </c>
      <c r="K158" s="53"/>
      <c r="L158" s="49"/>
      <c r="M158" s="49"/>
      <c r="N158" s="49"/>
      <c r="O158" s="49"/>
      <c r="P158" s="48"/>
      <c r="Q158" s="48"/>
      <c r="R158" s="63"/>
      <c r="S158" s="63"/>
    </row>
    <row r="159" spans="3:19" x14ac:dyDescent="0.25"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63"/>
      <c r="S159" s="63"/>
    </row>
    <row r="160" spans="3:19" x14ac:dyDescent="0.25"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63"/>
      <c r="S160" s="63"/>
    </row>
    <row r="161" spans="5:19" x14ac:dyDescent="0.25"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63"/>
      <c r="S161" s="63"/>
    </row>
    <row r="162" spans="5:19" x14ac:dyDescent="0.25"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63"/>
      <c r="S162" s="63"/>
    </row>
    <row r="163" spans="5:19" x14ac:dyDescent="0.25"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63"/>
      <c r="S163" s="63"/>
    </row>
    <row r="164" spans="5:19" x14ac:dyDescent="0.25"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63"/>
      <c r="S164" s="63"/>
    </row>
    <row r="165" spans="5:19" x14ac:dyDescent="0.25"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63"/>
      <c r="S165" s="63"/>
    </row>
    <row r="166" spans="5:19" x14ac:dyDescent="0.25"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63"/>
      <c r="S166" s="63"/>
    </row>
    <row r="167" spans="5:19" x14ac:dyDescent="0.25"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63"/>
      <c r="S167" s="63"/>
    </row>
    <row r="168" spans="5:19" x14ac:dyDescent="0.25"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63"/>
      <c r="S168" s="63"/>
    </row>
    <row r="169" spans="5:19" x14ac:dyDescent="0.25"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63"/>
      <c r="S169" s="63"/>
    </row>
    <row r="170" spans="5:19" x14ac:dyDescent="0.25"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63"/>
      <c r="S170" s="63"/>
    </row>
    <row r="171" spans="5:19" x14ac:dyDescent="0.25"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63"/>
      <c r="S171" s="63"/>
    </row>
    <row r="172" spans="5:19" x14ac:dyDescent="0.25"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63"/>
      <c r="S172" s="63"/>
    </row>
    <row r="173" spans="5:19" x14ac:dyDescent="0.25"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63"/>
      <c r="S173" s="63"/>
    </row>
    <row r="174" spans="5:19" x14ac:dyDescent="0.25"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63"/>
      <c r="S174" s="63"/>
    </row>
    <row r="175" spans="5:19" x14ac:dyDescent="0.25"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63"/>
      <c r="S175" s="63"/>
    </row>
    <row r="176" spans="5:19" x14ac:dyDescent="0.25"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63"/>
      <c r="S176" s="63"/>
    </row>
    <row r="177" spans="5:19" x14ac:dyDescent="0.25"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63"/>
      <c r="S177" s="63"/>
    </row>
    <row r="178" spans="5:19" x14ac:dyDescent="0.25"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63"/>
      <c r="S178" s="63"/>
    </row>
    <row r="179" spans="5:19" x14ac:dyDescent="0.25"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63"/>
      <c r="S179" s="63"/>
    </row>
    <row r="180" spans="5:19" x14ac:dyDescent="0.25"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63"/>
      <c r="S180" s="63"/>
    </row>
    <row r="181" spans="5:19" x14ac:dyDescent="0.25"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63"/>
      <c r="S181" s="63"/>
    </row>
    <row r="182" spans="5:19" x14ac:dyDescent="0.25"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63"/>
      <c r="S182" s="63"/>
    </row>
    <row r="183" spans="5:19" x14ac:dyDescent="0.25"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63"/>
      <c r="S183" s="63"/>
    </row>
    <row r="184" spans="5:19" x14ac:dyDescent="0.25"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5:19" x14ac:dyDescent="0.25"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5:19" x14ac:dyDescent="0.25"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5:19" x14ac:dyDescent="0.25"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</sheetData>
  <mergeCells count="18">
    <mergeCell ref="F155:G155"/>
    <mergeCell ref="I155:K155"/>
    <mergeCell ref="M155:N155"/>
    <mergeCell ref="F157:H157"/>
    <mergeCell ref="F158:H158"/>
    <mergeCell ref="F154:G154"/>
    <mergeCell ref="I154:K154"/>
    <mergeCell ref="D8:E8"/>
    <mergeCell ref="D11:D12"/>
    <mergeCell ref="E11:E12"/>
    <mergeCell ref="F11:F12"/>
    <mergeCell ref="G11:G12"/>
    <mergeCell ref="H11:K11"/>
    <mergeCell ref="D14:K14"/>
    <mergeCell ref="D54:K54"/>
    <mergeCell ref="D94:K94"/>
    <mergeCell ref="D98:K98"/>
    <mergeCell ref="D131:K131"/>
  </mergeCells>
  <dataValidations count="2">
    <dataValidation allowBlank="1" showInputMessage="1" promptTitle="Ввод" prompt="Для выбора организации необходимо два раза нажать левую клавишу мыши!" sqref="E43 E26:E27 E83 E66:E67 E19 E59"/>
    <dataValidation type="decimal" allowBlank="1" showErrorMessage="1" errorTitle="Ошибка" error="Допускается ввод только действительных чисел!" sqref="G15:K19 G95:K97 G69:K83 G64:K67 G85:K93 G99:K130 G24:K27 G45:K53 G29:K43 G132:K152 G61:K62 G21:K22 G55:K59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85"/>
  <sheetViews>
    <sheetView topLeftCell="C7" workbookViewId="0">
      <selection activeCell="E10" sqref="E10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 x14ac:dyDescent="0.25">
      <c r="S1" s="54"/>
      <c r="T1" s="54"/>
      <c r="U1" s="54"/>
      <c r="V1" s="54"/>
      <c r="Y1" s="54"/>
      <c r="AA1" s="54"/>
      <c r="AN1" s="54"/>
      <c r="AO1" s="54"/>
      <c r="AP1" s="54"/>
      <c r="BC1" s="54"/>
      <c r="BF1" s="54"/>
      <c r="BG1" s="54"/>
      <c r="BI1" s="54"/>
      <c r="BM1" s="54"/>
      <c r="BO1" s="54"/>
      <c r="BX1" s="54"/>
      <c r="BY1" s="54"/>
      <c r="CC1" s="54"/>
    </row>
    <row r="2" spans="1:81" hidden="1" x14ac:dyDescent="0.25"/>
    <row r="3" spans="1:81" hidden="1" x14ac:dyDescent="0.25"/>
    <row r="4" spans="1:81" hidden="1" x14ac:dyDescent="0.25">
      <c r="A4" s="55"/>
      <c r="F4" s="56"/>
      <c r="G4" s="56"/>
      <c r="H4" s="56"/>
      <c r="I4" s="56"/>
      <c r="J4" s="56"/>
      <c r="K4" s="56"/>
      <c r="M4" s="56"/>
      <c r="N4" s="56"/>
      <c r="O4" s="56"/>
      <c r="P4" s="56"/>
      <c r="Q4" s="56"/>
    </row>
    <row r="5" spans="1:81" hidden="1" x14ac:dyDescent="0.25">
      <c r="A5" s="57"/>
      <c r="F5" s="1" t="s">
        <v>316</v>
      </c>
      <c r="G5" s="1" t="s">
        <v>317</v>
      </c>
      <c r="H5" s="1" t="s">
        <v>318</v>
      </c>
      <c r="I5" s="1" t="s">
        <v>319</v>
      </c>
      <c r="J5" s="1" t="s">
        <v>320</v>
      </c>
      <c r="K5" s="1" t="s">
        <v>321</v>
      </c>
      <c r="L5" s="1" t="s">
        <v>322</v>
      </c>
      <c r="M5" s="1" t="s">
        <v>323</v>
      </c>
      <c r="N5" s="1" t="s">
        <v>323</v>
      </c>
      <c r="O5" s="1" t="s">
        <v>324</v>
      </c>
      <c r="P5" s="1" t="s">
        <v>325</v>
      </c>
      <c r="Q5" s="1" t="s">
        <v>326</v>
      </c>
    </row>
    <row r="6" spans="1:81" hidden="1" x14ac:dyDescent="0.25">
      <c r="A6" s="57"/>
    </row>
    <row r="7" spans="1:81" ht="12" customHeight="1" x14ac:dyDescent="0.25">
      <c r="A7" s="57"/>
      <c r="D7" s="5"/>
      <c r="E7" s="5"/>
      <c r="F7" s="5"/>
      <c r="G7" s="5"/>
      <c r="H7" s="5"/>
      <c r="I7" s="5"/>
      <c r="J7" s="5"/>
      <c r="K7" s="58"/>
      <c r="Q7" s="66"/>
    </row>
    <row r="8" spans="1:81" ht="22.5" customHeight="1" x14ac:dyDescent="0.25">
      <c r="A8" s="57"/>
      <c r="D8" s="104" t="s">
        <v>0</v>
      </c>
      <c r="E8" s="10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81" x14ac:dyDescent="0.25">
      <c r="A9" s="57"/>
      <c r="D9" s="3" t="s">
        <v>348</v>
      </c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81" ht="12" customHeight="1" x14ac:dyDescent="0.25">
      <c r="D10" s="4"/>
      <c r="E10" s="4"/>
      <c r="F10" s="5"/>
      <c r="G10" s="5"/>
      <c r="H10" s="5"/>
      <c r="I10" s="5"/>
      <c r="K10" s="6" t="s">
        <v>1</v>
      </c>
    </row>
    <row r="11" spans="1:81" ht="15" customHeight="1" x14ac:dyDescent="0.25">
      <c r="C11" s="5"/>
      <c r="D11" s="105" t="s">
        <v>2</v>
      </c>
      <c r="E11" s="102" t="s">
        <v>3</v>
      </c>
      <c r="F11" s="102" t="s">
        <v>4</v>
      </c>
      <c r="G11" s="102" t="s">
        <v>5</v>
      </c>
      <c r="H11" s="102" t="s">
        <v>6</v>
      </c>
      <c r="I11" s="102"/>
      <c r="J11" s="102"/>
      <c r="K11" s="103"/>
      <c r="L11" s="59"/>
    </row>
    <row r="12" spans="1:81" ht="15" customHeight="1" x14ac:dyDescent="0.25">
      <c r="C12" s="5"/>
      <c r="D12" s="106"/>
      <c r="E12" s="107"/>
      <c r="F12" s="107"/>
      <c r="G12" s="107"/>
      <c r="H12" s="93" t="s">
        <v>7</v>
      </c>
      <c r="I12" s="93" t="s">
        <v>8</v>
      </c>
      <c r="J12" s="93" t="s">
        <v>9</v>
      </c>
      <c r="K12" s="7" t="s">
        <v>10</v>
      </c>
      <c r="L12" s="59"/>
    </row>
    <row r="13" spans="1:81" ht="12" customHeight="1" x14ac:dyDescent="0.25">
      <c r="D13" s="8">
        <v>0</v>
      </c>
      <c r="E13" s="8">
        <v>1</v>
      </c>
      <c r="F13" s="8">
        <v>2</v>
      </c>
      <c r="G13" s="8">
        <v>3</v>
      </c>
      <c r="H13" s="8">
        <v>4</v>
      </c>
      <c r="I13" s="8">
        <v>5</v>
      </c>
      <c r="J13" s="8">
        <v>6</v>
      </c>
      <c r="K13" s="8">
        <v>7</v>
      </c>
    </row>
    <row r="14" spans="1:81" s="60" customFormat="1" ht="15" customHeight="1" x14ac:dyDescent="0.25">
      <c r="C14" s="9"/>
      <c r="D14" s="99" t="s">
        <v>11</v>
      </c>
      <c r="E14" s="100"/>
      <c r="F14" s="100"/>
      <c r="G14" s="100"/>
      <c r="H14" s="100"/>
      <c r="I14" s="100"/>
      <c r="J14" s="100"/>
      <c r="K14" s="101"/>
      <c r="L14" s="61"/>
    </row>
    <row r="15" spans="1:81" s="60" customFormat="1" ht="15" customHeight="1" x14ac:dyDescent="0.2">
      <c r="C15" s="9"/>
      <c r="D15" s="10" t="s">
        <v>12</v>
      </c>
      <c r="E15" s="11" t="s">
        <v>13</v>
      </c>
      <c r="F15" s="12">
        <v>10</v>
      </c>
      <c r="G15" s="13">
        <f>SUM(H15:K15)</f>
        <v>5312.1990000000005</v>
      </c>
      <c r="H15" s="13">
        <f>H16+H17+H20+H23</f>
        <v>783.03800000000001</v>
      </c>
      <c r="I15" s="13">
        <f>I16+I17+I20+I23</f>
        <v>3730.4989999999998</v>
      </c>
      <c r="J15" s="13">
        <f>J16+J17+J20+J23</f>
        <v>798.66200000000003</v>
      </c>
      <c r="K15" s="13">
        <f>K16+K17+K20+K23</f>
        <v>0</v>
      </c>
      <c r="L15" s="61"/>
      <c r="M15" s="49"/>
      <c r="P15" s="67">
        <v>10</v>
      </c>
    </row>
    <row r="16" spans="1:81" s="60" customFormat="1" ht="15" customHeight="1" x14ac:dyDescent="0.2">
      <c r="C16" s="9"/>
      <c r="D16" s="10" t="s">
        <v>14</v>
      </c>
      <c r="E16" s="14" t="s">
        <v>15</v>
      </c>
      <c r="F16" s="12">
        <v>20</v>
      </c>
      <c r="G16" s="13">
        <f t="shared" ref="G16:G136" si="0">SUM(H16:K16)</f>
        <v>0</v>
      </c>
      <c r="H16" s="15"/>
      <c r="I16" s="15"/>
      <c r="J16" s="15"/>
      <c r="K16" s="15"/>
      <c r="L16" s="61"/>
      <c r="M16" s="49"/>
      <c r="P16" s="67">
        <v>20</v>
      </c>
    </row>
    <row r="17" spans="3:16" s="60" customFormat="1" ht="12.75" x14ac:dyDescent="0.2">
      <c r="C17" s="9"/>
      <c r="D17" s="10" t="s">
        <v>16</v>
      </c>
      <c r="E17" s="14" t="s">
        <v>17</v>
      </c>
      <c r="F17" s="12">
        <v>30</v>
      </c>
      <c r="G17" s="13">
        <f t="shared" si="0"/>
        <v>0</v>
      </c>
      <c r="H17" s="13">
        <f>SUM(H18:H19)</f>
        <v>0</v>
      </c>
      <c r="I17" s="13">
        <f>SUM(I18:I19)</f>
        <v>0</v>
      </c>
      <c r="J17" s="13">
        <f>SUM(J18:J19)</f>
        <v>0</v>
      </c>
      <c r="K17" s="13">
        <f>SUM(K18:K19)</f>
        <v>0</v>
      </c>
      <c r="L17" s="61"/>
      <c r="M17" s="49"/>
      <c r="P17" s="67">
        <v>30</v>
      </c>
    </row>
    <row r="18" spans="3:16" s="60" customFormat="1" ht="12.75" x14ac:dyDescent="0.2">
      <c r="C18" s="9"/>
      <c r="D18" s="16" t="s">
        <v>18</v>
      </c>
      <c r="E18" s="17"/>
      <c r="F18" s="18" t="s">
        <v>19</v>
      </c>
      <c r="G18" s="19"/>
      <c r="H18" s="19"/>
      <c r="I18" s="19"/>
      <c r="J18" s="19"/>
      <c r="K18" s="19"/>
      <c r="L18" s="61"/>
      <c r="M18" s="49"/>
      <c r="P18" s="67"/>
    </row>
    <row r="19" spans="3:16" s="60" customFormat="1" ht="12.75" x14ac:dyDescent="0.2">
      <c r="C19" s="9"/>
      <c r="D19" s="20"/>
      <c r="E19" s="21" t="s">
        <v>20</v>
      </c>
      <c r="F19" s="22"/>
      <c r="G19" s="22"/>
      <c r="H19" s="22"/>
      <c r="I19" s="22"/>
      <c r="J19" s="22"/>
      <c r="K19" s="23"/>
      <c r="L19" s="61"/>
      <c r="M19" s="49"/>
      <c r="P19" s="68"/>
    </row>
    <row r="20" spans="3:16" s="60" customFormat="1" ht="12.75" x14ac:dyDescent="0.2">
      <c r="C20" s="9"/>
      <c r="D20" s="10" t="s">
        <v>21</v>
      </c>
      <c r="E20" s="14" t="s">
        <v>22</v>
      </c>
      <c r="F20" s="12" t="s">
        <v>23</v>
      </c>
      <c r="G20" s="13">
        <f t="shared" si="0"/>
        <v>0</v>
      </c>
      <c r="H20" s="13">
        <f>SUM(H21:H22)</f>
        <v>0</v>
      </c>
      <c r="I20" s="13">
        <f>SUM(I21:I22)</f>
        <v>0</v>
      </c>
      <c r="J20" s="13">
        <f>SUM(J21:J22)</f>
        <v>0</v>
      </c>
      <c r="K20" s="13">
        <f>SUM(K21:K22)</f>
        <v>0</v>
      </c>
      <c r="L20" s="61"/>
      <c r="M20" s="49"/>
      <c r="P20" s="68"/>
    </row>
    <row r="21" spans="3:16" s="60" customFormat="1" ht="12.75" x14ac:dyDescent="0.2">
      <c r="C21" s="9"/>
      <c r="D21" s="16" t="s">
        <v>24</v>
      </c>
      <c r="E21" s="17"/>
      <c r="F21" s="18" t="s">
        <v>23</v>
      </c>
      <c r="G21" s="19"/>
      <c r="H21" s="19"/>
      <c r="I21" s="19"/>
      <c r="J21" s="19"/>
      <c r="K21" s="19"/>
      <c r="L21" s="61"/>
      <c r="M21" s="49"/>
      <c r="P21" s="67"/>
    </row>
    <row r="22" spans="3:16" s="60" customFormat="1" ht="12.75" x14ac:dyDescent="0.2">
      <c r="C22" s="9"/>
      <c r="D22" s="20"/>
      <c r="E22" s="21" t="s">
        <v>20</v>
      </c>
      <c r="F22" s="22"/>
      <c r="G22" s="22"/>
      <c r="H22" s="22"/>
      <c r="I22" s="22"/>
      <c r="J22" s="22"/>
      <c r="K22" s="23"/>
      <c r="L22" s="61"/>
      <c r="M22" s="49"/>
      <c r="P22" s="68"/>
    </row>
    <row r="23" spans="3:16" s="60" customFormat="1" ht="12.75" x14ac:dyDescent="0.2">
      <c r="C23" s="9"/>
      <c r="D23" s="10" t="s">
        <v>25</v>
      </c>
      <c r="E23" s="14" t="s">
        <v>26</v>
      </c>
      <c r="F23" s="12" t="s">
        <v>27</v>
      </c>
      <c r="G23" s="13">
        <f t="shared" si="0"/>
        <v>5312.1990000000005</v>
      </c>
      <c r="H23" s="13">
        <f>SUM(H24:H27)</f>
        <v>783.03800000000001</v>
      </c>
      <c r="I23" s="13">
        <f>SUM(I24:I27)</f>
        <v>3730.4989999999998</v>
      </c>
      <c r="J23" s="13">
        <f>SUM(J24:J27)</f>
        <v>798.66200000000003</v>
      </c>
      <c r="K23" s="13">
        <f>SUM(K24:K27)</f>
        <v>0</v>
      </c>
      <c r="L23" s="61"/>
      <c r="M23" s="49"/>
      <c r="P23" s="67">
        <v>40</v>
      </c>
    </row>
    <row r="24" spans="3:16" s="60" customFormat="1" ht="12.75" x14ac:dyDescent="0.2">
      <c r="C24" s="9"/>
      <c r="D24" s="16" t="s">
        <v>28</v>
      </c>
      <c r="E24" s="17"/>
      <c r="F24" s="18" t="s">
        <v>27</v>
      </c>
      <c r="G24" s="19"/>
      <c r="H24" s="19"/>
      <c r="I24" s="19"/>
      <c r="J24" s="19"/>
      <c r="K24" s="19"/>
      <c r="L24" s="61"/>
      <c r="M24" s="49"/>
      <c r="P24" s="67"/>
    </row>
    <row r="25" spans="3:16" s="60" customFormat="1" ht="15" x14ac:dyDescent="0.25">
      <c r="C25" s="24" t="s">
        <v>29</v>
      </c>
      <c r="D25" s="25" t="s">
        <v>30</v>
      </c>
      <c r="E25" s="26" t="s">
        <v>344</v>
      </c>
      <c r="F25" s="27">
        <v>431</v>
      </c>
      <c r="G25" s="28">
        <f>SUM(H25:K25)</f>
        <v>4928.4270000000006</v>
      </c>
      <c r="H25" s="29">
        <v>783.03800000000001</v>
      </c>
      <c r="I25" s="29">
        <v>3730.4989999999998</v>
      </c>
      <c r="J25" s="29">
        <f>414.871+0.019</f>
        <v>414.89</v>
      </c>
      <c r="K25" s="30"/>
      <c r="L25" s="61"/>
      <c r="M25" s="69" t="s">
        <v>327</v>
      </c>
      <c r="N25" s="70" t="s">
        <v>328</v>
      </c>
      <c r="O25" s="70" t="s">
        <v>329</v>
      </c>
    </row>
    <row r="26" spans="3:16" s="60" customFormat="1" ht="15" x14ac:dyDescent="0.25">
      <c r="C26" s="24" t="s">
        <v>29</v>
      </c>
      <c r="D26" s="25" t="s">
        <v>342</v>
      </c>
      <c r="E26" s="26" t="s">
        <v>68</v>
      </c>
      <c r="F26" s="27">
        <v>432</v>
      </c>
      <c r="G26" s="28">
        <f>SUM(H26:K26)</f>
        <v>383.77199999999999</v>
      </c>
      <c r="H26" s="29"/>
      <c r="I26" s="29"/>
      <c r="J26" s="29">
        <v>383.77199999999999</v>
      </c>
      <c r="K26" s="30"/>
      <c r="L26" s="61"/>
      <c r="M26" s="69" t="s">
        <v>330</v>
      </c>
      <c r="N26" s="70" t="s">
        <v>328</v>
      </c>
      <c r="O26" s="70" t="s">
        <v>332</v>
      </c>
    </row>
    <row r="27" spans="3:16" s="60" customFormat="1" ht="12.75" x14ac:dyDescent="0.2">
      <c r="C27" s="9"/>
      <c r="D27" s="20"/>
      <c r="E27" s="21" t="s">
        <v>20</v>
      </c>
      <c r="F27" s="22"/>
      <c r="G27" s="22"/>
      <c r="H27" s="22"/>
      <c r="I27" s="22"/>
      <c r="J27" s="22"/>
      <c r="K27" s="23"/>
      <c r="L27" s="61"/>
      <c r="M27" s="49"/>
      <c r="P27" s="67"/>
    </row>
    <row r="28" spans="3:16" s="60" customFormat="1" ht="12.75" x14ac:dyDescent="0.2">
      <c r="C28" s="9"/>
      <c r="D28" s="10" t="s">
        <v>31</v>
      </c>
      <c r="E28" s="11" t="s">
        <v>32</v>
      </c>
      <c r="F28" s="12" t="s">
        <v>33</v>
      </c>
      <c r="G28" s="13">
        <f t="shared" si="0"/>
        <v>2730.0599999999995</v>
      </c>
      <c r="H28" s="13">
        <f>H30+H31+H32</f>
        <v>0</v>
      </c>
      <c r="I28" s="13">
        <f>I29+I31+I32</f>
        <v>0</v>
      </c>
      <c r="J28" s="13">
        <f>J29+J30+J32</f>
        <v>1699.6589999999997</v>
      </c>
      <c r="K28" s="13">
        <f>K29+K30+K31</f>
        <v>1030.4010000000001</v>
      </c>
      <c r="L28" s="61"/>
      <c r="M28" s="49"/>
      <c r="P28" s="67">
        <v>50</v>
      </c>
    </row>
    <row r="29" spans="3:16" s="60" customFormat="1" ht="12.75" x14ac:dyDescent="0.2">
      <c r="C29" s="9"/>
      <c r="D29" s="10" t="s">
        <v>34</v>
      </c>
      <c r="E29" s="14" t="s">
        <v>7</v>
      </c>
      <c r="F29" s="12" t="s">
        <v>35</v>
      </c>
      <c r="G29" s="13">
        <f t="shared" si="0"/>
        <v>783.02499999999998</v>
      </c>
      <c r="H29" s="31"/>
      <c r="I29" s="15"/>
      <c r="J29" s="15">
        <f>H45</f>
        <v>783.02499999999998</v>
      </c>
      <c r="K29" s="15"/>
      <c r="L29" s="61"/>
      <c r="M29" s="49"/>
      <c r="P29" s="67">
        <v>60</v>
      </c>
    </row>
    <row r="30" spans="3:16" s="60" customFormat="1" ht="12.75" x14ac:dyDescent="0.2">
      <c r="C30" s="9"/>
      <c r="D30" s="10" t="s">
        <v>36</v>
      </c>
      <c r="E30" s="14" t="s">
        <v>8</v>
      </c>
      <c r="F30" s="12" t="s">
        <v>37</v>
      </c>
      <c r="G30" s="13">
        <f t="shared" si="0"/>
        <v>916.63399999999956</v>
      </c>
      <c r="H30" s="15"/>
      <c r="I30" s="31"/>
      <c r="J30" s="15">
        <f>I25-I34-I48</f>
        <v>916.63399999999956</v>
      </c>
      <c r="K30" s="15"/>
      <c r="L30" s="61"/>
      <c r="M30" s="49"/>
      <c r="P30" s="67">
        <v>70</v>
      </c>
    </row>
    <row r="31" spans="3:16" s="60" customFormat="1" ht="12.75" x14ac:dyDescent="0.2">
      <c r="C31" s="9"/>
      <c r="D31" s="10" t="s">
        <v>38</v>
      </c>
      <c r="E31" s="14" t="s">
        <v>9</v>
      </c>
      <c r="F31" s="12" t="s">
        <v>39</v>
      </c>
      <c r="G31" s="13">
        <f t="shared" si="0"/>
        <v>1030.4010000000001</v>
      </c>
      <c r="H31" s="15"/>
      <c r="I31" s="15"/>
      <c r="J31" s="31"/>
      <c r="K31" s="15">
        <f>J23+J28+J17-J48-J34</f>
        <v>1030.4010000000001</v>
      </c>
      <c r="L31" s="61"/>
      <c r="M31" s="49"/>
      <c r="P31" s="67">
        <v>80</v>
      </c>
    </row>
    <row r="32" spans="3:16" s="60" customFormat="1" ht="12.75" x14ac:dyDescent="0.2">
      <c r="C32" s="9"/>
      <c r="D32" s="10" t="s">
        <v>40</v>
      </c>
      <c r="E32" s="14" t="s">
        <v>41</v>
      </c>
      <c r="F32" s="12" t="s">
        <v>42</v>
      </c>
      <c r="G32" s="13">
        <f t="shared" si="0"/>
        <v>0</v>
      </c>
      <c r="H32" s="15"/>
      <c r="I32" s="15"/>
      <c r="J32" s="15"/>
      <c r="K32" s="31"/>
      <c r="L32" s="61"/>
      <c r="M32" s="49"/>
      <c r="P32" s="67">
        <v>90</v>
      </c>
    </row>
    <row r="33" spans="3:16" s="60" customFormat="1" ht="12.75" x14ac:dyDescent="0.2">
      <c r="C33" s="9"/>
      <c r="D33" s="10" t="s">
        <v>43</v>
      </c>
      <c r="E33" s="32" t="s">
        <v>44</v>
      </c>
      <c r="F33" s="12" t="s">
        <v>45</v>
      </c>
      <c r="G33" s="13">
        <f t="shared" si="0"/>
        <v>0</v>
      </c>
      <c r="H33" s="15"/>
      <c r="I33" s="15"/>
      <c r="J33" s="15"/>
      <c r="K33" s="15"/>
      <c r="L33" s="61"/>
      <c r="M33" s="49"/>
      <c r="P33" s="67"/>
    </row>
    <row r="34" spans="3:16" s="60" customFormat="1" ht="12.75" x14ac:dyDescent="0.2">
      <c r="C34" s="9"/>
      <c r="D34" s="10" t="s">
        <v>46</v>
      </c>
      <c r="E34" s="11" t="s">
        <v>47</v>
      </c>
      <c r="F34" s="33" t="s">
        <v>48</v>
      </c>
      <c r="G34" s="13">
        <f t="shared" si="0"/>
        <v>5289.7880000000005</v>
      </c>
      <c r="H34" s="13">
        <f>H35+H37+H40+H44</f>
        <v>0</v>
      </c>
      <c r="I34" s="13">
        <f>I35+I37+I40+I44</f>
        <v>2798.9520000000002</v>
      </c>
      <c r="J34" s="13">
        <f>J35+J37+J40+J44</f>
        <v>1461.11</v>
      </c>
      <c r="K34" s="13">
        <f>K35+K37+K40+K44</f>
        <v>1029.7260000000001</v>
      </c>
      <c r="L34" s="61"/>
      <c r="M34" s="49"/>
      <c r="P34" s="67">
        <v>100</v>
      </c>
    </row>
    <row r="35" spans="3:16" s="60" customFormat="1" ht="22.5" x14ac:dyDescent="0.2">
      <c r="C35" s="9"/>
      <c r="D35" s="10" t="s">
        <v>49</v>
      </c>
      <c r="E35" s="14" t="s">
        <v>50</v>
      </c>
      <c r="F35" s="12" t="s">
        <v>51</v>
      </c>
      <c r="G35" s="13">
        <f t="shared" si="0"/>
        <v>0</v>
      </c>
      <c r="H35" s="15"/>
      <c r="I35" s="15"/>
      <c r="J35" s="15"/>
      <c r="K35" s="15"/>
      <c r="L35" s="61"/>
      <c r="M35" s="49"/>
      <c r="P35" s="67"/>
    </row>
    <row r="36" spans="3:16" s="60" customFormat="1" ht="12.75" x14ac:dyDescent="0.2">
      <c r="C36" s="9"/>
      <c r="D36" s="10" t="s">
        <v>52</v>
      </c>
      <c r="E36" s="34" t="s">
        <v>53</v>
      </c>
      <c r="F36" s="12" t="s">
        <v>54</v>
      </c>
      <c r="G36" s="13">
        <f t="shared" si="0"/>
        <v>0</v>
      </c>
      <c r="H36" s="15"/>
      <c r="I36" s="15"/>
      <c r="J36" s="15"/>
      <c r="K36" s="15"/>
      <c r="L36" s="61"/>
      <c r="M36" s="49"/>
      <c r="P36" s="67"/>
    </row>
    <row r="37" spans="3:16" s="60" customFormat="1" ht="12.75" x14ac:dyDescent="0.2">
      <c r="C37" s="9"/>
      <c r="D37" s="10" t="s">
        <v>55</v>
      </c>
      <c r="E37" s="14" t="s">
        <v>56</v>
      </c>
      <c r="F37" s="12" t="s">
        <v>57</v>
      </c>
      <c r="G37" s="13">
        <f t="shared" si="0"/>
        <v>3195.4500000000003</v>
      </c>
      <c r="H37" s="15">
        <v>0</v>
      </c>
      <c r="I37" s="15">
        <v>704.61400000000003</v>
      </c>
      <c r="J37" s="15">
        <v>1461.11</v>
      </c>
      <c r="K37" s="15">
        <v>1029.7260000000001</v>
      </c>
      <c r="L37" s="61"/>
      <c r="M37" s="49"/>
      <c r="P37" s="67"/>
    </row>
    <row r="38" spans="3:16" s="60" customFormat="1" ht="12.75" x14ac:dyDescent="0.2">
      <c r="C38" s="9"/>
      <c r="D38" s="10" t="s">
        <v>58</v>
      </c>
      <c r="E38" s="34" t="s">
        <v>59</v>
      </c>
      <c r="F38" s="12" t="s">
        <v>60</v>
      </c>
      <c r="G38" s="13">
        <f t="shared" si="0"/>
        <v>0</v>
      </c>
      <c r="H38" s="15"/>
      <c r="I38" s="15"/>
      <c r="J38" s="15"/>
      <c r="K38" s="15"/>
      <c r="L38" s="61"/>
      <c r="M38" s="49"/>
      <c r="P38" s="67"/>
    </row>
    <row r="39" spans="3:16" s="60" customFormat="1" ht="12.75" x14ac:dyDescent="0.2">
      <c r="C39" s="9"/>
      <c r="D39" s="10" t="s">
        <v>61</v>
      </c>
      <c r="E39" s="35" t="s">
        <v>53</v>
      </c>
      <c r="F39" s="12" t="s">
        <v>62</v>
      </c>
      <c r="G39" s="13">
        <f t="shared" si="0"/>
        <v>0</v>
      </c>
      <c r="H39" s="15"/>
      <c r="I39" s="15"/>
      <c r="J39" s="15"/>
      <c r="K39" s="15"/>
      <c r="L39" s="61"/>
      <c r="M39" s="49"/>
      <c r="P39" s="67"/>
    </row>
    <row r="40" spans="3:16" s="60" customFormat="1" ht="12.75" x14ac:dyDescent="0.2">
      <c r="C40" s="9"/>
      <c r="D40" s="10" t="s">
        <v>63</v>
      </c>
      <c r="E40" s="14" t="s">
        <v>64</v>
      </c>
      <c r="F40" s="12" t="s">
        <v>65</v>
      </c>
      <c r="G40" s="13">
        <f t="shared" si="0"/>
        <v>2094.3380000000002</v>
      </c>
      <c r="H40" s="13">
        <f>SUM(H41:H43)</f>
        <v>0</v>
      </c>
      <c r="I40" s="13">
        <f>SUM(I41:I43)</f>
        <v>2094.3380000000002</v>
      </c>
      <c r="J40" s="13">
        <f>SUM(J41:J43)</f>
        <v>0</v>
      </c>
      <c r="K40" s="13">
        <f>SUM(K41:K43)</f>
        <v>0</v>
      </c>
      <c r="L40" s="61"/>
      <c r="M40" s="49"/>
      <c r="P40" s="67"/>
    </row>
    <row r="41" spans="3:16" s="60" customFormat="1" ht="12.75" x14ac:dyDescent="0.2">
      <c r="C41" s="9"/>
      <c r="D41" s="16" t="s">
        <v>66</v>
      </c>
      <c r="E41" s="17"/>
      <c r="F41" s="18" t="s">
        <v>65</v>
      </c>
      <c r="G41" s="19"/>
      <c r="H41" s="19"/>
      <c r="I41" s="19"/>
      <c r="J41" s="19"/>
      <c r="K41" s="19"/>
      <c r="L41" s="61"/>
      <c r="M41" s="49"/>
      <c r="P41" s="67"/>
    </row>
    <row r="42" spans="3:16" s="60" customFormat="1" ht="15" x14ac:dyDescent="0.25">
      <c r="C42" s="24" t="s">
        <v>29</v>
      </c>
      <c r="D42" s="25" t="s">
        <v>67</v>
      </c>
      <c r="E42" s="26" t="s">
        <v>68</v>
      </c>
      <c r="F42" s="27">
        <v>751</v>
      </c>
      <c r="G42" s="28">
        <f>SUM(H42:K42)</f>
        <v>2094.3380000000002</v>
      </c>
      <c r="H42" s="29"/>
      <c r="I42" s="29">
        <v>2094.3380000000002</v>
      </c>
      <c r="J42" s="29"/>
      <c r="K42" s="30"/>
      <c r="L42" s="61"/>
      <c r="M42" s="69" t="s">
        <v>330</v>
      </c>
      <c r="N42" s="70" t="s">
        <v>331</v>
      </c>
      <c r="O42" s="70" t="s">
        <v>332</v>
      </c>
    </row>
    <row r="43" spans="3:16" s="60" customFormat="1" ht="12.75" x14ac:dyDescent="0.2">
      <c r="C43" s="9"/>
      <c r="D43" s="36"/>
      <c r="E43" s="21" t="s">
        <v>20</v>
      </c>
      <c r="F43" s="22"/>
      <c r="G43" s="22"/>
      <c r="H43" s="22"/>
      <c r="I43" s="22"/>
      <c r="J43" s="22"/>
      <c r="K43" s="23"/>
      <c r="L43" s="61"/>
      <c r="M43" s="49"/>
      <c r="P43" s="67"/>
    </row>
    <row r="44" spans="3:16" s="60" customFormat="1" ht="12.75" x14ac:dyDescent="0.2">
      <c r="C44" s="9"/>
      <c r="D44" s="10" t="s">
        <v>69</v>
      </c>
      <c r="E44" s="37" t="s">
        <v>70</v>
      </c>
      <c r="F44" s="12" t="s">
        <v>71</v>
      </c>
      <c r="G44" s="13">
        <f t="shared" si="0"/>
        <v>0</v>
      </c>
      <c r="H44" s="15"/>
      <c r="I44" s="15"/>
      <c r="J44" s="15"/>
      <c r="K44" s="15"/>
      <c r="L44" s="61"/>
      <c r="M44" s="49"/>
      <c r="P44" s="67">
        <v>120</v>
      </c>
    </row>
    <row r="45" spans="3:16" s="60" customFormat="1" ht="12.75" x14ac:dyDescent="0.2">
      <c r="C45" s="9"/>
      <c r="D45" s="10" t="s">
        <v>72</v>
      </c>
      <c r="E45" s="11" t="s">
        <v>73</v>
      </c>
      <c r="F45" s="12" t="s">
        <v>74</v>
      </c>
      <c r="G45" s="13">
        <f t="shared" si="0"/>
        <v>2730.0599999999995</v>
      </c>
      <c r="H45" s="15">
        <f>H25-H48-H34</f>
        <v>783.02499999999998</v>
      </c>
      <c r="I45" s="15">
        <f>I15-I34-I48</f>
        <v>916.63399999999956</v>
      </c>
      <c r="J45" s="15">
        <f>J23+J28+J17-J34-J48</f>
        <v>1030.4010000000001</v>
      </c>
      <c r="K45" s="15">
        <f>K31-K34-K48</f>
        <v>-4.5519144009631418E-14</v>
      </c>
      <c r="L45" s="61"/>
      <c r="M45" s="49"/>
      <c r="P45" s="67">
        <v>150</v>
      </c>
    </row>
    <row r="46" spans="3:16" s="60" customFormat="1" ht="12.75" x14ac:dyDescent="0.2">
      <c r="C46" s="9"/>
      <c r="D46" s="10" t="s">
        <v>75</v>
      </c>
      <c r="E46" s="11" t="s">
        <v>76</v>
      </c>
      <c r="F46" s="12" t="s">
        <v>77</v>
      </c>
      <c r="G46" s="13">
        <f t="shared" si="0"/>
        <v>0</v>
      </c>
      <c r="H46" s="15"/>
      <c r="I46" s="15"/>
      <c r="J46" s="15"/>
      <c r="K46" s="15"/>
      <c r="L46" s="61"/>
      <c r="M46" s="49"/>
      <c r="P46" s="67">
        <v>160</v>
      </c>
    </row>
    <row r="47" spans="3:16" s="60" customFormat="1" ht="12.75" x14ac:dyDescent="0.2">
      <c r="C47" s="9"/>
      <c r="D47" s="10" t="s">
        <v>78</v>
      </c>
      <c r="E47" s="11" t="s">
        <v>79</v>
      </c>
      <c r="F47" s="12" t="s">
        <v>80</v>
      </c>
      <c r="G47" s="13">
        <f t="shared" si="0"/>
        <v>0</v>
      </c>
      <c r="H47" s="15"/>
      <c r="I47" s="15"/>
      <c r="J47" s="15"/>
      <c r="K47" s="15"/>
      <c r="L47" s="61"/>
      <c r="M47" s="49"/>
      <c r="P47" s="67">
        <v>180</v>
      </c>
    </row>
    <row r="48" spans="3:16" s="60" customFormat="1" ht="12.75" x14ac:dyDescent="0.2">
      <c r="C48" s="9"/>
      <c r="D48" s="10" t="s">
        <v>81</v>
      </c>
      <c r="E48" s="11" t="s">
        <v>82</v>
      </c>
      <c r="F48" s="12" t="s">
        <v>83</v>
      </c>
      <c r="G48" s="13">
        <f t="shared" si="0"/>
        <v>22.411000000000001</v>
      </c>
      <c r="H48" s="15">
        <v>1.2999999999999999E-2</v>
      </c>
      <c r="I48" s="15">
        <v>14.913</v>
      </c>
      <c r="J48" s="15">
        <v>6.81</v>
      </c>
      <c r="K48" s="15">
        <v>0.67500000000000004</v>
      </c>
      <c r="L48" s="61"/>
      <c r="M48" s="49"/>
      <c r="P48" s="67">
        <v>190</v>
      </c>
    </row>
    <row r="49" spans="3:16" s="60" customFormat="1" ht="12.75" x14ac:dyDescent="0.2">
      <c r="C49" s="9"/>
      <c r="D49" s="10" t="s">
        <v>84</v>
      </c>
      <c r="E49" s="14" t="s">
        <v>85</v>
      </c>
      <c r="F49" s="12" t="s">
        <v>86</v>
      </c>
      <c r="G49" s="13">
        <f t="shared" si="0"/>
        <v>0</v>
      </c>
      <c r="H49" s="15"/>
      <c r="I49" s="15"/>
      <c r="J49" s="15"/>
      <c r="K49" s="15"/>
      <c r="L49" s="61"/>
      <c r="M49" s="49"/>
      <c r="P49" s="67">
        <v>200</v>
      </c>
    </row>
    <row r="50" spans="3:16" s="60" customFormat="1" ht="22.5" x14ac:dyDescent="0.2">
      <c r="C50" s="9"/>
      <c r="D50" s="10" t="s">
        <v>87</v>
      </c>
      <c r="E50" s="11" t="s">
        <v>88</v>
      </c>
      <c r="F50" s="12" t="s">
        <v>89</v>
      </c>
      <c r="G50" s="13">
        <f t="shared" si="0"/>
        <v>146.68900000000002</v>
      </c>
      <c r="H50" s="15"/>
      <c r="I50" s="15">
        <v>36.201000000000001</v>
      </c>
      <c r="J50" s="15">
        <v>48.277000000000001</v>
      </c>
      <c r="K50" s="15">
        <v>62.210999999999999</v>
      </c>
      <c r="L50" s="61"/>
      <c r="M50" s="49"/>
      <c r="P50" s="68"/>
    </row>
    <row r="51" spans="3:16" s="60" customFormat="1" ht="33.75" x14ac:dyDescent="0.2">
      <c r="C51" s="9"/>
      <c r="D51" s="10" t="s">
        <v>90</v>
      </c>
      <c r="E51" s="32" t="s">
        <v>91</v>
      </c>
      <c r="F51" s="12" t="s">
        <v>92</v>
      </c>
      <c r="G51" s="13">
        <f t="shared" si="0"/>
        <v>-124.27799999999999</v>
      </c>
      <c r="H51" s="13">
        <f>H48-H50</f>
        <v>1.2999999999999999E-2</v>
      </c>
      <c r="I51" s="13">
        <f>I48-I50</f>
        <v>-21.288</v>
      </c>
      <c r="J51" s="13">
        <f>J48-J50</f>
        <v>-41.466999999999999</v>
      </c>
      <c r="K51" s="13">
        <f>K48-K50</f>
        <v>-61.536000000000001</v>
      </c>
      <c r="L51" s="61"/>
      <c r="M51" s="49"/>
      <c r="P51" s="68"/>
    </row>
    <row r="52" spans="3:16" s="60" customFormat="1" ht="12.75" x14ac:dyDescent="0.2">
      <c r="C52" s="9"/>
      <c r="D52" s="10" t="s">
        <v>93</v>
      </c>
      <c r="E52" s="11" t="s">
        <v>94</v>
      </c>
      <c r="F52" s="12" t="s">
        <v>95</v>
      </c>
      <c r="G52" s="13">
        <f t="shared" si="0"/>
        <v>0</v>
      </c>
      <c r="H52" s="13">
        <f>(H15+H28+H33)-(H34+H45+H46+H47+H48)</f>
        <v>0</v>
      </c>
      <c r="I52" s="13">
        <f>(I15+I28+I33)-(I34+I45+I46+I47+I48)</f>
        <v>0</v>
      </c>
      <c r="J52" s="13">
        <f>(J15+J28+J33)-(J34+J45+J46+J47+J48)</f>
        <v>0</v>
      </c>
      <c r="K52" s="13">
        <f>(K15+K28+K33)-(K34+K45+K46+K47+K48)</f>
        <v>0</v>
      </c>
      <c r="L52" s="61"/>
      <c r="M52" s="49"/>
      <c r="P52" s="67">
        <v>210</v>
      </c>
    </row>
    <row r="53" spans="3:16" s="60" customFormat="1" ht="12.75" x14ac:dyDescent="0.2">
      <c r="C53" s="9"/>
      <c r="D53" s="99" t="s">
        <v>96</v>
      </c>
      <c r="E53" s="100"/>
      <c r="F53" s="100"/>
      <c r="G53" s="100"/>
      <c r="H53" s="100"/>
      <c r="I53" s="100"/>
      <c r="J53" s="100"/>
      <c r="K53" s="101"/>
      <c r="L53" s="61"/>
      <c r="M53" s="49"/>
      <c r="P53" s="68"/>
    </row>
    <row r="54" spans="3:16" s="60" customFormat="1" ht="12.75" x14ac:dyDescent="0.2">
      <c r="C54" s="9"/>
      <c r="D54" s="10" t="s">
        <v>97</v>
      </c>
      <c r="E54" s="11" t="s">
        <v>13</v>
      </c>
      <c r="F54" s="12" t="s">
        <v>98</v>
      </c>
      <c r="G54" s="13">
        <f t="shared" si="0"/>
        <v>7.3780541666666668</v>
      </c>
      <c r="H54" s="13">
        <f>H55+H56+H59+H62</f>
        <v>1.0875527777777778</v>
      </c>
      <c r="I54" s="13">
        <f>I55+I56+I59+I62</f>
        <v>5.1812486111111111</v>
      </c>
      <c r="J54" s="13">
        <f>J55+J56+J59+J62</f>
        <v>1.1092527777777779</v>
      </c>
      <c r="K54" s="13">
        <f>K55+K56+K59+K62</f>
        <v>0</v>
      </c>
      <c r="L54" s="61"/>
      <c r="M54" s="49"/>
      <c r="P54" s="67">
        <v>300</v>
      </c>
    </row>
    <row r="55" spans="3:16" s="60" customFormat="1" ht="12.75" x14ac:dyDescent="0.2">
      <c r="C55" s="9"/>
      <c r="D55" s="10" t="s">
        <v>99</v>
      </c>
      <c r="E55" s="14" t="s">
        <v>15</v>
      </c>
      <c r="F55" s="12" t="s">
        <v>100</v>
      </c>
      <c r="G55" s="13">
        <f t="shared" si="0"/>
        <v>0</v>
      </c>
      <c r="H55" s="15"/>
      <c r="I55" s="15"/>
      <c r="J55" s="15"/>
      <c r="K55" s="15"/>
      <c r="L55" s="61"/>
      <c r="M55" s="49"/>
      <c r="P55" s="67">
        <v>310</v>
      </c>
    </row>
    <row r="56" spans="3:16" s="60" customFormat="1" ht="12.75" x14ac:dyDescent="0.2">
      <c r="C56" s="9"/>
      <c r="D56" s="10" t="s">
        <v>101</v>
      </c>
      <c r="E56" s="14" t="s">
        <v>17</v>
      </c>
      <c r="F56" s="12" t="s">
        <v>102</v>
      </c>
      <c r="G56" s="13">
        <f t="shared" si="0"/>
        <v>0</v>
      </c>
      <c r="H56" s="13">
        <f>SUM(H57:H58)</f>
        <v>0</v>
      </c>
      <c r="I56" s="13">
        <f>SUM(I57:I58)</f>
        <v>0</v>
      </c>
      <c r="J56" s="13">
        <f>SUM(J57:J58)</f>
        <v>0</v>
      </c>
      <c r="K56" s="13">
        <f>SUM(K57:K58)</f>
        <v>0</v>
      </c>
      <c r="L56" s="61"/>
      <c r="M56" s="49"/>
      <c r="P56" s="67">
        <v>320</v>
      </c>
    </row>
    <row r="57" spans="3:16" s="60" customFormat="1" ht="12.75" x14ac:dyDescent="0.2">
      <c r="C57" s="9"/>
      <c r="D57" s="16" t="s">
        <v>103</v>
      </c>
      <c r="E57" s="17"/>
      <c r="F57" s="18" t="s">
        <v>102</v>
      </c>
      <c r="G57" s="19"/>
      <c r="H57" s="19"/>
      <c r="I57" s="19"/>
      <c r="J57" s="19"/>
      <c r="K57" s="19"/>
      <c r="L57" s="61"/>
      <c r="M57" s="49"/>
      <c r="P57" s="67"/>
    </row>
    <row r="58" spans="3:16" s="60" customFormat="1" ht="12.75" x14ac:dyDescent="0.2">
      <c r="C58" s="9"/>
      <c r="D58" s="20"/>
      <c r="E58" s="21" t="s">
        <v>20</v>
      </c>
      <c r="F58" s="22"/>
      <c r="G58" s="22"/>
      <c r="H58" s="22"/>
      <c r="I58" s="22"/>
      <c r="J58" s="22"/>
      <c r="K58" s="23"/>
      <c r="L58" s="61"/>
      <c r="M58" s="49"/>
      <c r="P58" s="67"/>
    </row>
    <row r="59" spans="3:16" s="60" customFormat="1" ht="12.75" x14ac:dyDescent="0.2">
      <c r="C59" s="9"/>
      <c r="D59" s="10" t="s">
        <v>104</v>
      </c>
      <c r="E59" s="14" t="s">
        <v>22</v>
      </c>
      <c r="F59" s="12" t="s">
        <v>105</v>
      </c>
      <c r="G59" s="13">
        <f t="shared" si="0"/>
        <v>0</v>
      </c>
      <c r="H59" s="13">
        <f>SUM(H60:H61)</f>
        <v>0</v>
      </c>
      <c r="I59" s="13">
        <f>SUM(I60:I61)</f>
        <v>0</v>
      </c>
      <c r="J59" s="13">
        <f>SUM(J60:J61)</f>
        <v>0</v>
      </c>
      <c r="K59" s="13">
        <f>SUM(K60:K61)</f>
        <v>0</v>
      </c>
      <c r="L59" s="61"/>
      <c r="M59" s="49"/>
      <c r="P59" s="67"/>
    </row>
    <row r="60" spans="3:16" s="60" customFormat="1" ht="12.75" x14ac:dyDescent="0.2">
      <c r="C60" s="9"/>
      <c r="D60" s="16" t="s">
        <v>106</v>
      </c>
      <c r="E60" s="17"/>
      <c r="F60" s="18" t="s">
        <v>105</v>
      </c>
      <c r="G60" s="19"/>
      <c r="H60" s="19"/>
      <c r="I60" s="19"/>
      <c r="J60" s="19"/>
      <c r="K60" s="19"/>
      <c r="L60" s="61"/>
      <c r="M60" s="49"/>
      <c r="P60" s="67"/>
    </row>
    <row r="61" spans="3:16" s="60" customFormat="1" ht="12.75" x14ac:dyDescent="0.2">
      <c r="C61" s="9"/>
      <c r="D61" s="20"/>
      <c r="E61" s="21" t="s">
        <v>20</v>
      </c>
      <c r="F61" s="22"/>
      <c r="G61" s="22"/>
      <c r="H61" s="22"/>
      <c r="I61" s="22"/>
      <c r="J61" s="22"/>
      <c r="K61" s="23"/>
      <c r="L61" s="61"/>
      <c r="M61" s="49"/>
      <c r="P61" s="67"/>
    </row>
    <row r="62" spans="3:16" s="60" customFormat="1" ht="12.75" x14ac:dyDescent="0.2">
      <c r="C62" s="9"/>
      <c r="D62" s="10" t="s">
        <v>107</v>
      </c>
      <c r="E62" s="14" t="s">
        <v>26</v>
      </c>
      <c r="F62" s="12" t="s">
        <v>108</v>
      </c>
      <c r="G62" s="13">
        <f t="shared" si="0"/>
        <v>7.3780541666666668</v>
      </c>
      <c r="H62" s="13">
        <f>SUM(H63:H66)</f>
        <v>1.0875527777777778</v>
      </c>
      <c r="I62" s="13">
        <f>SUM(I63:I66)</f>
        <v>5.1812486111111111</v>
      </c>
      <c r="J62" s="13">
        <f>SUM(J63:J66)</f>
        <v>1.1092527777777779</v>
      </c>
      <c r="K62" s="13">
        <f>SUM(K63:K66)</f>
        <v>0</v>
      </c>
      <c r="L62" s="61"/>
      <c r="M62" s="49"/>
      <c r="P62" s="67">
        <v>330</v>
      </c>
    </row>
    <row r="63" spans="3:16" s="60" customFormat="1" ht="12.75" x14ac:dyDescent="0.2">
      <c r="C63" s="9"/>
      <c r="D63" s="16" t="s">
        <v>109</v>
      </c>
      <c r="E63" s="17"/>
      <c r="F63" s="18" t="s">
        <v>108</v>
      </c>
      <c r="G63" s="19"/>
      <c r="H63" s="19"/>
      <c r="I63" s="19"/>
      <c r="J63" s="19"/>
      <c r="K63" s="19"/>
      <c r="L63" s="61"/>
      <c r="M63" s="49"/>
      <c r="P63" s="67"/>
    </row>
    <row r="64" spans="3:16" s="60" customFormat="1" ht="15" x14ac:dyDescent="0.25">
      <c r="C64" s="24" t="s">
        <v>29</v>
      </c>
      <c r="D64" s="25" t="s">
        <v>110</v>
      </c>
      <c r="E64" s="26" t="s">
        <v>344</v>
      </c>
      <c r="F64" s="27">
        <v>1461</v>
      </c>
      <c r="G64" s="28">
        <f>SUM(H64:K64)</f>
        <v>6.8450375000000001</v>
      </c>
      <c r="H64" s="29">
        <f>H25/720</f>
        <v>1.0875527777777778</v>
      </c>
      <c r="I64" s="29">
        <f>I25/720</f>
        <v>5.1812486111111111</v>
      </c>
      <c r="J64" s="29">
        <f>J25/720</f>
        <v>0.57623611111111106</v>
      </c>
      <c r="K64" s="29"/>
      <c r="L64" s="61"/>
      <c r="M64" s="69" t="s">
        <v>327</v>
      </c>
      <c r="N64" s="70" t="s">
        <v>328</v>
      </c>
      <c r="O64" s="70" t="s">
        <v>329</v>
      </c>
    </row>
    <row r="65" spans="3:16" s="60" customFormat="1" ht="15" x14ac:dyDescent="0.25">
      <c r="C65" s="24" t="s">
        <v>29</v>
      </c>
      <c r="D65" s="25" t="s">
        <v>343</v>
      </c>
      <c r="E65" s="26" t="s">
        <v>68</v>
      </c>
      <c r="F65" s="27">
        <v>1462</v>
      </c>
      <c r="G65" s="28">
        <f>SUM(H65:K65)</f>
        <v>0.53301666666666669</v>
      </c>
      <c r="H65" s="29"/>
      <c r="I65" s="29"/>
      <c r="J65" s="29">
        <f>J26/720</f>
        <v>0.53301666666666669</v>
      </c>
      <c r="K65" s="30"/>
      <c r="L65" s="61"/>
      <c r="M65" s="69" t="s">
        <v>330</v>
      </c>
      <c r="N65" s="70" t="s">
        <v>328</v>
      </c>
      <c r="O65" s="70" t="s">
        <v>332</v>
      </c>
    </row>
    <row r="66" spans="3:16" s="60" customFormat="1" ht="12.75" x14ac:dyDescent="0.2">
      <c r="C66" s="9"/>
      <c r="D66" s="20"/>
      <c r="E66" s="21" t="s">
        <v>20</v>
      </c>
      <c r="F66" s="22"/>
      <c r="G66" s="22"/>
      <c r="H66" s="22"/>
      <c r="I66" s="22"/>
      <c r="J66" s="22"/>
      <c r="K66" s="23"/>
      <c r="L66" s="61"/>
      <c r="M66" s="49"/>
      <c r="P66" s="67"/>
    </row>
    <row r="67" spans="3:16" s="60" customFormat="1" ht="12.75" x14ac:dyDescent="0.2">
      <c r="C67" s="9"/>
      <c r="D67" s="10" t="s">
        <v>111</v>
      </c>
      <c r="E67" s="11" t="s">
        <v>32</v>
      </c>
      <c r="F67" s="12" t="s">
        <v>112</v>
      </c>
      <c r="G67" s="13">
        <f t="shared" si="0"/>
        <v>3.7917499999999995</v>
      </c>
      <c r="H67" s="13">
        <f>H69+H70+H71</f>
        <v>0</v>
      </c>
      <c r="I67" s="13">
        <f>I68+I70+I71</f>
        <v>0</v>
      </c>
      <c r="J67" s="13">
        <f>J68+J69+J71</f>
        <v>2.3606374999999993</v>
      </c>
      <c r="K67" s="13">
        <f>K68+K69+K70</f>
        <v>1.4311125</v>
      </c>
      <c r="L67" s="61"/>
      <c r="M67" s="49"/>
      <c r="P67" s="67">
        <v>340</v>
      </c>
    </row>
    <row r="68" spans="3:16" s="60" customFormat="1" ht="12.75" x14ac:dyDescent="0.2">
      <c r="C68" s="9"/>
      <c r="D68" s="10" t="s">
        <v>113</v>
      </c>
      <c r="E68" s="14" t="s">
        <v>7</v>
      </c>
      <c r="F68" s="12" t="s">
        <v>114</v>
      </c>
      <c r="G68" s="13">
        <f t="shared" si="0"/>
        <v>1.0875347222222222</v>
      </c>
      <c r="H68" s="31"/>
      <c r="I68" s="15"/>
      <c r="J68" s="15">
        <f>J29/720</f>
        <v>1.0875347222222222</v>
      </c>
      <c r="K68" s="15"/>
      <c r="L68" s="61"/>
      <c r="M68" s="49"/>
      <c r="P68" s="67">
        <v>350</v>
      </c>
    </row>
    <row r="69" spans="3:16" s="60" customFormat="1" ht="12.75" x14ac:dyDescent="0.2">
      <c r="C69" s="9"/>
      <c r="D69" s="10" t="s">
        <v>115</v>
      </c>
      <c r="E69" s="14" t="s">
        <v>8</v>
      </c>
      <c r="F69" s="12" t="s">
        <v>116</v>
      </c>
      <c r="G69" s="13">
        <f t="shared" si="0"/>
        <v>1.2731027777777773</v>
      </c>
      <c r="H69" s="15"/>
      <c r="I69" s="38"/>
      <c r="J69" s="15">
        <f>J30/720</f>
        <v>1.2731027777777773</v>
      </c>
      <c r="K69" s="15"/>
      <c r="L69" s="61"/>
      <c r="M69" s="49"/>
      <c r="P69" s="67">
        <v>360</v>
      </c>
    </row>
    <row r="70" spans="3:16" s="60" customFormat="1" ht="12.75" x14ac:dyDescent="0.2">
      <c r="C70" s="9"/>
      <c r="D70" s="10" t="s">
        <v>117</v>
      </c>
      <c r="E70" s="14" t="s">
        <v>9</v>
      </c>
      <c r="F70" s="12" t="s">
        <v>118</v>
      </c>
      <c r="G70" s="13">
        <f t="shared" si="0"/>
        <v>1.4311125</v>
      </c>
      <c r="H70" s="15"/>
      <c r="I70" s="15"/>
      <c r="J70" s="31"/>
      <c r="K70" s="15">
        <f>K31/720</f>
        <v>1.4311125</v>
      </c>
      <c r="L70" s="61"/>
      <c r="M70" s="49"/>
      <c r="P70" s="67">
        <v>370</v>
      </c>
    </row>
    <row r="71" spans="3:16" s="60" customFormat="1" ht="12.75" x14ac:dyDescent="0.2">
      <c r="C71" s="9"/>
      <c r="D71" s="10" t="s">
        <v>119</v>
      </c>
      <c r="E71" s="14" t="s">
        <v>41</v>
      </c>
      <c r="F71" s="12" t="s">
        <v>120</v>
      </c>
      <c r="G71" s="13">
        <f t="shared" si="0"/>
        <v>0</v>
      </c>
      <c r="H71" s="15"/>
      <c r="I71" s="15"/>
      <c r="J71" s="15"/>
      <c r="K71" s="31"/>
      <c r="L71" s="61"/>
      <c r="M71" s="49"/>
      <c r="P71" s="67">
        <v>380</v>
      </c>
    </row>
    <row r="72" spans="3:16" s="60" customFormat="1" ht="12.75" x14ac:dyDescent="0.2">
      <c r="C72" s="9"/>
      <c r="D72" s="10" t="s">
        <v>121</v>
      </c>
      <c r="E72" s="32" t="s">
        <v>44</v>
      </c>
      <c r="F72" s="12" t="s">
        <v>122</v>
      </c>
      <c r="G72" s="13">
        <f t="shared" si="0"/>
        <v>0</v>
      </c>
      <c r="H72" s="15"/>
      <c r="I72" s="15"/>
      <c r="J72" s="15"/>
      <c r="K72" s="15"/>
      <c r="L72" s="61"/>
      <c r="M72" s="49"/>
      <c r="P72" s="67"/>
    </row>
    <row r="73" spans="3:16" s="60" customFormat="1" ht="12.75" x14ac:dyDescent="0.2">
      <c r="C73" s="9"/>
      <c r="D73" s="10" t="s">
        <v>123</v>
      </c>
      <c r="E73" s="11" t="s">
        <v>47</v>
      </c>
      <c r="F73" s="33" t="s">
        <v>124</v>
      </c>
      <c r="G73" s="13">
        <f t="shared" si="0"/>
        <v>7.3469277777777782</v>
      </c>
      <c r="H73" s="13">
        <f>H74+H76+H79+H83</f>
        <v>0</v>
      </c>
      <c r="I73" s="13">
        <f>I74+I76+I79+I83</f>
        <v>3.8874333333333335</v>
      </c>
      <c r="J73" s="13">
        <f>J74+J76+J79+J83</f>
        <v>2.0293194444444445</v>
      </c>
      <c r="K73" s="13">
        <f>K74+K76+K79+K83</f>
        <v>1.4301750000000002</v>
      </c>
      <c r="L73" s="61"/>
      <c r="M73" s="49"/>
      <c r="P73" s="67">
        <v>390</v>
      </c>
    </row>
    <row r="74" spans="3:16" s="60" customFormat="1" ht="22.5" x14ac:dyDescent="0.2">
      <c r="C74" s="9"/>
      <c r="D74" s="10" t="s">
        <v>125</v>
      </c>
      <c r="E74" s="14" t="s">
        <v>50</v>
      </c>
      <c r="F74" s="12" t="s">
        <v>126</v>
      </c>
      <c r="G74" s="13">
        <f t="shared" si="0"/>
        <v>0</v>
      </c>
      <c r="H74" s="15"/>
      <c r="I74" s="15"/>
      <c r="J74" s="15"/>
      <c r="K74" s="15"/>
      <c r="L74" s="61"/>
      <c r="M74" s="49"/>
      <c r="P74" s="67"/>
    </row>
    <row r="75" spans="3:16" s="60" customFormat="1" ht="12.75" x14ac:dyDescent="0.2">
      <c r="C75" s="9"/>
      <c r="D75" s="10" t="s">
        <v>127</v>
      </c>
      <c r="E75" s="34" t="s">
        <v>53</v>
      </c>
      <c r="F75" s="12" t="s">
        <v>128</v>
      </c>
      <c r="G75" s="13">
        <f t="shared" si="0"/>
        <v>0</v>
      </c>
      <c r="H75" s="15"/>
      <c r="I75" s="15"/>
      <c r="J75" s="15"/>
      <c r="K75" s="15"/>
      <c r="L75" s="61"/>
      <c r="M75" s="49"/>
      <c r="P75" s="67"/>
    </row>
    <row r="76" spans="3:16" s="60" customFormat="1" ht="12.75" x14ac:dyDescent="0.2">
      <c r="C76" s="9"/>
      <c r="D76" s="10" t="s">
        <v>129</v>
      </c>
      <c r="E76" s="14" t="s">
        <v>56</v>
      </c>
      <c r="F76" s="12" t="s">
        <v>130</v>
      </c>
      <c r="G76" s="13">
        <f t="shared" si="0"/>
        <v>4.4381250000000003</v>
      </c>
      <c r="H76" s="15">
        <f>H37/720</f>
        <v>0</v>
      </c>
      <c r="I76" s="15">
        <f>I37/720</f>
        <v>0.97863055555555556</v>
      </c>
      <c r="J76" s="15">
        <f>J37/720</f>
        <v>2.0293194444444445</v>
      </c>
      <c r="K76" s="15">
        <f>K37/720</f>
        <v>1.4301750000000002</v>
      </c>
      <c r="L76" s="61"/>
      <c r="M76" s="49"/>
      <c r="P76" s="67"/>
    </row>
    <row r="77" spans="3:16" s="60" customFormat="1" ht="12.75" x14ac:dyDescent="0.2">
      <c r="C77" s="9"/>
      <c r="D77" s="10" t="s">
        <v>131</v>
      </c>
      <c r="E77" s="34" t="s">
        <v>59</v>
      </c>
      <c r="F77" s="12" t="s">
        <v>132</v>
      </c>
      <c r="G77" s="13">
        <f t="shared" si="0"/>
        <v>0</v>
      </c>
      <c r="H77" s="15"/>
      <c r="I77" s="15"/>
      <c r="J77" s="15"/>
      <c r="K77" s="15"/>
      <c r="L77" s="61"/>
      <c r="M77" s="49"/>
      <c r="P77" s="67"/>
    </row>
    <row r="78" spans="3:16" s="60" customFormat="1" ht="12.75" x14ac:dyDescent="0.2">
      <c r="C78" s="9"/>
      <c r="D78" s="10" t="s">
        <v>133</v>
      </c>
      <c r="E78" s="35" t="s">
        <v>53</v>
      </c>
      <c r="F78" s="12" t="s">
        <v>134</v>
      </c>
      <c r="G78" s="13">
        <f t="shared" si="0"/>
        <v>0</v>
      </c>
      <c r="H78" s="15"/>
      <c r="I78" s="15"/>
      <c r="J78" s="15"/>
      <c r="K78" s="15"/>
      <c r="L78" s="61"/>
      <c r="M78" s="49"/>
      <c r="P78" s="67"/>
    </row>
    <row r="79" spans="3:16" s="60" customFormat="1" ht="12.75" x14ac:dyDescent="0.2">
      <c r="C79" s="9"/>
      <c r="D79" s="10" t="s">
        <v>135</v>
      </c>
      <c r="E79" s="14" t="s">
        <v>64</v>
      </c>
      <c r="F79" s="12" t="s">
        <v>136</v>
      </c>
      <c r="G79" s="13">
        <f t="shared" si="0"/>
        <v>2.9088027777777778</v>
      </c>
      <c r="H79" s="13">
        <f>SUM(H80:H82)</f>
        <v>0</v>
      </c>
      <c r="I79" s="13">
        <f>SUM(I80:I82)</f>
        <v>2.9088027777777778</v>
      </c>
      <c r="J79" s="13">
        <f>SUM(J80:J82)</f>
        <v>0</v>
      </c>
      <c r="K79" s="13">
        <f>SUM(K80:K82)</f>
        <v>0</v>
      </c>
      <c r="L79" s="61"/>
      <c r="M79" s="49"/>
      <c r="P79" s="67"/>
    </row>
    <row r="80" spans="3:16" s="60" customFormat="1" ht="12.75" x14ac:dyDescent="0.2">
      <c r="C80" s="9"/>
      <c r="D80" s="16" t="s">
        <v>137</v>
      </c>
      <c r="E80" s="17"/>
      <c r="F80" s="18" t="s">
        <v>136</v>
      </c>
      <c r="G80" s="19"/>
      <c r="H80" s="19"/>
      <c r="I80" s="19"/>
      <c r="J80" s="19"/>
      <c r="K80" s="19"/>
      <c r="L80" s="61"/>
      <c r="M80" s="49"/>
      <c r="P80" s="67"/>
    </row>
    <row r="81" spans="3:16" s="60" customFormat="1" ht="15" x14ac:dyDescent="0.25">
      <c r="C81" s="24" t="s">
        <v>29</v>
      </c>
      <c r="D81" s="25" t="s">
        <v>138</v>
      </c>
      <c r="E81" s="26" t="s">
        <v>68</v>
      </c>
      <c r="F81" s="27">
        <v>1781</v>
      </c>
      <c r="G81" s="28">
        <f>SUM(H81:K81)</f>
        <v>2.9088027777777778</v>
      </c>
      <c r="H81" s="29"/>
      <c r="I81" s="29">
        <f>I42/720</f>
        <v>2.9088027777777778</v>
      </c>
      <c r="J81" s="29"/>
      <c r="K81" s="30"/>
      <c r="L81" s="61"/>
      <c r="M81" s="69" t="s">
        <v>330</v>
      </c>
      <c r="N81" s="70" t="s">
        <v>331</v>
      </c>
      <c r="O81" s="70" t="s">
        <v>332</v>
      </c>
    </row>
    <row r="82" spans="3:16" s="60" customFormat="1" ht="12.75" x14ac:dyDescent="0.2">
      <c r="C82" s="9"/>
      <c r="D82" s="20"/>
      <c r="E82" s="21" t="s">
        <v>20</v>
      </c>
      <c r="F82" s="22"/>
      <c r="G82" s="22"/>
      <c r="H82" s="22"/>
      <c r="I82" s="22"/>
      <c r="J82" s="22"/>
      <c r="K82" s="23"/>
      <c r="L82" s="61"/>
      <c r="M82" s="49"/>
      <c r="P82" s="67"/>
    </row>
    <row r="83" spans="3:16" s="60" customFormat="1" ht="12.75" x14ac:dyDescent="0.2">
      <c r="C83" s="9"/>
      <c r="D83" s="10" t="s">
        <v>139</v>
      </c>
      <c r="E83" s="37" t="s">
        <v>70</v>
      </c>
      <c r="F83" s="12" t="s">
        <v>140</v>
      </c>
      <c r="G83" s="13">
        <f t="shared" si="0"/>
        <v>0</v>
      </c>
      <c r="H83" s="15"/>
      <c r="I83" s="15"/>
      <c r="J83" s="15"/>
      <c r="K83" s="15"/>
      <c r="L83" s="61"/>
      <c r="M83" s="49"/>
      <c r="P83" s="67">
        <v>410</v>
      </c>
    </row>
    <row r="84" spans="3:16" s="60" customFormat="1" ht="12.75" x14ac:dyDescent="0.2">
      <c r="C84" s="9"/>
      <c r="D84" s="10" t="s">
        <v>141</v>
      </c>
      <c r="E84" s="11" t="s">
        <v>73</v>
      </c>
      <c r="F84" s="12" t="s">
        <v>142</v>
      </c>
      <c r="G84" s="13">
        <f t="shared" si="0"/>
        <v>3.7917499999999995</v>
      </c>
      <c r="H84" s="15">
        <f>H45/720</f>
        <v>1.0875347222222222</v>
      </c>
      <c r="I84" s="15">
        <f>I45/720</f>
        <v>1.2731027777777773</v>
      </c>
      <c r="J84" s="15">
        <f>J45/720</f>
        <v>1.4311125</v>
      </c>
      <c r="K84" s="15">
        <f>K45/720</f>
        <v>-6.32210333467103E-17</v>
      </c>
      <c r="L84" s="61"/>
      <c r="M84" s="49"/>
      <c r="P84" s="67">
        <v>440</v>
      </c>
    </row>
    <row r="85" spans="3:16" s="60" customFormat="1" ht="12.75" x14ac:dyDescent="0.2">
      <c r="C85" s="9"/>
      <c r="D85" s="10" t="s">
        <v>143</v>
      </c>
      <c r="E85" s="11" t="s">
        <v>76</v>
      </c>
      <c r="F85" s="12" t="s">
        <v>144</v>
      </c>
      <c r="G85" s="13">
        <f t="shared" si="0"/>
        <v>0</v>
      </c>
      <c r="H85" s="15"/>
      <c r="I85" s="15"/>
      <c r="J85" s="15"/>
      <c r="K85" s="15"/>
      <c r="L85" s="61"/>
      <c r="M85" s="49"/>
      <c r="P85" s="67">
        <v>450</v>
      </c>
    </row>
    <row r="86" spans="3:16" s="60" customFormat="1" ht="12.75" x14ac:dyDescent="0.2">
      <c r="C86" s="9"/>
      <c r="D86" s="10" t="s">
        <v>145</v>
      </c>
      <c r="E86" s="11" t="s">
        <v>79</v>
      </c>
      <c r="F86" s="12" t="s">
        <v>146</v>
      </c>
      <c r="G86" s="13">
        <f t="shared" si="0"/>
        <v>0</v>
      </c>
      <c r="H86" s="15"/>
      <c r="I86" s="15"/>
      <c r="J86" s="15"/>
      <c r="K86" s="15"/>
      <c r="L86" s="61"/>
      <c r="M86" s="49"/>
      <c r="P86" s="67">
        <v>470</v>
      </c>
    </row>
    <row r="87" spans="3:16" s="60" customFormat="1" ht="12.75" x14ac:dyDescent="0.2">
      <c r="C87" s="9"/>
      <c r="D87" s="10" t="s">
        <v>147</v>
      </c>
      <c r="E87" s="11" t="s">
        <v>82</v>
      </c>
      <c r="F87" s="12" t="s">
        <v>148</v>
      </c>
      <c r="G87" s="13">
        <f t="shared" si="0"/>
        <v>3.1126388888888891E-2</v>
      </c>
      <c r="H87" s="15">
        <f>H48/720</f>
        <v>1.8055555555555555E-5</v>
      </c>
      <c r="I87" s="15">
        <f>I48/720</f>
        <v>2.0712500000000002E-2</v>
      </c>
      <c r="J87" s="15">
        <f>J48/720</f>
        <v>9.4583333333333325E-3</v>
      </c>
      <c r="K87" s="15">
        <f>K48/720</f>
        <v>9.3750000000000007E-4</v>
      </c>
      <c r="L87" s="61"/>
      <c r="M87" s="49"/>
      <c r="P87" s="67">
        <v>480</v>
      </c>
    </row>
    <row r="88" spans="3:16" s="60" customFormat="1" ht="12.75" x14ac:dyDescent="0.2">
      <c r="C88" s="9"/>
      <c r="D88" s="10" t="s">
        <v>149</v>
      </c>
      <c r="E88" s="14" t="s">
        <v>150</v>
      </c>
      <c r="F88" s="12" t="s">
        <v>151</v>
      </c>
      <c r="G88" s="13">
        <f t="shared" si="0"/>
        <v>0</v>
      </c>
      <c r="H88" s="15"/>
      <c r="I88" s="15"/>
      <c r="J88" s="15"/>
      <c r="K88" s="15"/>
      <c r="L88" s="61"/>
      <c r="M88" s="49"/>
      <c r="P88" s="67">
        <v>490</v>
      </c>
    </row>
    <row r="89" spans="3:16" s="60" customFormat="1" ht="22.5" x14ac:dyDescent="0.2">
      <c r="C89" s="9"/>
      <c r="D89" s="10" t="s">
        <v>152</v>
      </c>
      <c r="E89" s="11" t="s">
        <v>88</v>
      </c>
      <c r="F89" s="12" t="s">
        <v>153</v>
      </c>
      <c r="G89" s="13">
        <f t="shared" si="0"/>
        <v>0.20373472222222222</v>
      </c>
      <c r="H89" s="15"/>
      <c r="I89" s="15">
        <f>I50/720</f>
        <v>5.0279166666666666E-2</v>
      </c>
      <c r="J89" s="15">
        <f>J50/720</f>
        <v>6.7051388888888896E-2</v>
      </c>
      <c r="K89" s="15">
        <f>K50/720</f>
        <v>8.6404166666666671E-2</v>
      </c>
      <c r="L89" s="61"/>
      <c r="M89" s="49"/>
      <c r="P89" s="67"/>
    </row>
    <row r="90" spans="3:16" s="60" customFormat="1" ht="33.75" x14ac:dyDescent="0.2">
      <c r="C90" s="9"/>
      <c r="D90" s="10" t="s">
        <v>154</v>
      </c>
      <c r="E90" s="32" t="s">
        <v>91</v>
      </c>
      <c r="F90" s="12" t="s">
        <v>155</v>
      </c>
      <c r="G90" s="13">
        <f t="shared" si="0"/>
        <v>-0.17260833333333336</v>
      </c>
      <c r="H90" s="13">
        <f>H87-H89</f>
        <v>1.8055555555555555E-5</v>
      </c>
      <c r="I90" s="13">
        <f>I87-I89</f>
        <v>-2.9566666666666665E-2</v>
      </c>
      <c r="J90" s="13">
        <f>J87-J89</f>
        <v>-5.7593055555555564E-2</v>
      </c>
      <c r="K90" s="13">
        <f>K87-K89</f>
        <v>-8.5466666666666677E-2</v>
      </c>
      <c r="L90" s="61"/>
      <c r="M90" s="49"/>
      <c r="P90" s="67"/>
    </row>
    <row r="91" spans="3:16" s="60" customFormat="1" ht="12.75" x14ac:dyDescent="0.2">
      <c r="C91" s="9"/>
      <c r="D91" s="10" t="s">
        <v>156</v>
      </c>
      <c r="E91" s="11" t="s">
        <v>94</v>
      </c>
      <c r="F91" s="12" t="s">
        <v>157</v>
      </c>
      <c r="G91" s="13">
        <f t="shared" si="0"/>
        <v>0</v>
      </c>
      <c r="H91" s="13">
        <f>(H54+H67+H72)-(H73+H84+H85+H86+H87)</f>
        <v>0</v>
      </c>
      <c r="I91" s="13">
        <f>(I54+I67+I72)-(I73+I84+I85+I86+I87)</f>
        <v>0</v>
      </c>
      <c r="J91" s="13">
        <f>(J54+J67+J72)-(J73+J84+J85+J86+J87)</f>
        <v>0</v>
      </c>
      <c r="K91" s="13">
        <f>(K54+K67+K72)-(K73+K84+K85+K86+K87)</f>
        <v>0</v>
      </c>
      <c r="L91" s="61"/>
      <c r="M91" s="49"/>
      <c r="P91" s="67">
        <v>500</v>
      </c>
    </row>
    <row r="92" spans="3:16" s="60" customFormat="1" ht="12.75" x14ac:dyDescent="0.2">
      <c r="C92" s="9"/>
      <c r="D92" s="99" t="s">
        <v>158</v>
      </c>
      <c r="E92" s="100"/>
      <c r="F92" s="100"/>
      <c r="G92" s="100"/>
      <c r="H92" s="100"/>
      <c r="I92" s="100"/>
      <c r="J92" s="100"/>
      <c r="K92" s="101"/>
      <c r="L92" s="61"/>
      <c r="M92" s="49"/>
      <c r="P92" s="68"/>
    </row>
    <row r="93" spans="3:16" s="60" customFormat="1" ht="12.75" x14ac:dyDescent="0.2">
      <c r="C93" s="9"/>
      <c r="D93" s="10" t="s">
        <v>159</v>
      </c>
      <c r="E93" s="11" t="s">
        <v>160</v>
      </c>
      <c r="F93" s="12" t="s">
        <v>161</v>
      </c>
      <c r="G93" s="13">
        <f t="shared" si="0"/>
        <v>0</v>
      </c>
      <c r="H93" s="15"/>
      <c r="I93" s="15"/>
      <c r="J93" s="15"/>
      <c r="K93" s="15"/>
      <c r="L93" s="61"/>
      <c r="M93" s="49"/>
      <c r="P93" s="67">
        <v>600</v>
      </c>
    </row>
    <row r="94" spans="3:16" s="60" customFormat="1" ht="12.75" x14ac:dyDescent="0.2">
      <c r="C94" s="9"/>
      <c r="D94" s="10" t="s">
        <v>162</v>
      </c>
      <c r="E94" s="11" t="s">
        <v>163</v>
      </c>
      <c r="F94" s="12" t="s">
        <v>164</v>
      </c>
      <c r="G94" s="13">
        <f t="shared" si="0"/>
        <v>44.622999999999998</v>
      </c>
      <c r="H94" s="15"/>
      <c r="I94" s="15">
        <v>44.622999999999998</v>
      </c>
      <c r="J94" s="15"/>
      <c r="K94" s="15"/>
      <c r="L94" s="61"/>
      <c r="M94" s="49"/>
      <c r="P94" s="67">
        <v>610</v>
      </c>
    </row>
    <row r="95" spans="3:16" s="60" customFormat="1" ht="12.75" x14ac:dyDescent="0.2">
      <c r="C95" s="9"/>
      <c r="D95" s="10" t="s">
        <v>165</v>
      </c>
      <c r="E95" s="11" t="s">
        <v>166</v>
      </c>
      <c r="F95" s="12" t="s">
        <v>167</v>
      </c>
      <c r="G95" s="13">
        <f t="shared" si="0"/>
        <v>0</v>
      </c>
      <c r="H95" s="15"/>
      <c r="I95" s="15"/>
      <c r="J95" s="15"/>
      <c r="K95" s="15"/>
      <c r="L95" s="61"/>
      <c r="M95" s="49"/>
      <c r="P95" s="67">
        <v>620</v>
      </c>
    </row>
    <row r="96" spans="3:16" s="60" customFormat="1" ht="12.75" x14ac:dyDescent="0.2">
      <c r="C96" s="9"/>
      <c r="D96" s="99" t="s">
        <v>168</v>
      </c>
      <c r="E96" s="100"/>
      <c r="F96" s="100"/>
      <c r="G96" s="100"/>
      <c r="H96" s="100"/>
      <c r="I96" s="100"/>
      <c r="J96" s="100"/>
      <c r="K96" s="101"/>
      <c r="L96" s="61"/>
      <c r="M96" s="49"/>
      <c r="P96" s="68"/>
    </row>
    <row r="97" spans="3:16" s="60" customFormat="1" ht="12.75" x14ac:dyDescent="0.2">
      <c r="C97" s="9"/>
      <c r="D97" s="10" t="s">
        <v>169</v>
      </c>
      <c r="E97" s="11" t="s">
        <v>170</v>
      </c>
      <c r="F97" s="12" t="s">
        <v>171</v>
      </c>
      <c r="G97" s="13">
        <f t="shared" si="0"/>
        <v>0</v>
      </c>
      <c r="H97" s="13">
        <f>SUM(H98:H99)</f>
        <v>0</v>
      </c>
      <c r="I97" s="13">
        <f>SUM(I98:I99)</f>
        <v>0</v>
      </c>
      <c r="J97" s="13">
        <f>SUM(J98:J99)</f>
        <v>0</v>
      </c>
      <c r="K97" s="13">
        <f>SUM(K98:K99)</f>
        <v>0</v>
      </c>
      <c r="L97" s="61"/>
      <c r="M97" s="49"/>
      <c r="P97" s="67">
        <v>700</v>
      </c>
    </row>
    <row r="98" spans="3:16" ht="12.75" x14ac:dyDescent="0.2">
      <c r="C98" s="5"/>
      <c r="D98" s="39" t="s">
        <v>172</v>
      </c>
      <c r="E98" s="14" t="s">
        <v>173</v>
      </c>
      <c r="F98" s="12" t="s">
        <v>174</v>
      </c>
      <c r="G98" s="13">
        <f t="shared" si="0"/>
        <v>0</v>
      </c>
      <c r="H98" s="40"/>
      <c r="I98" s="40"/>
      <c r="J98" s="40"/>
      <c r="K98" s="40"/>
      <c r="L98" s="59"/>
      <c r="M98" s="49"/>
      <c r="P98" s="67">
        <v>710</v>
      </c>
    </row>
    <row r="99" spans="3:16" ht="12.75" x14ac:dyDescent="0.2">
      <c r="C99" s="5"/>
      <c r="D99" s="39" t="s">
        <v>175</v>
      </c>
      <c r="E99" s="14" t="s">
        <v>176</v>
      </c>
      <c r="F99" s="12" t="s">
        <v>177</v>
      </c>
      <c r="G99" s="13">
        <f t="shared" si="0"/>
        <v>0</v>
      </c>
      <c r="H99" s="41">
        <f>H102</f>
        <v>0</v>
      </c>
      <c r="I99" s="41">
        <f>I102</f>
        <v>0</v>
      </c>
      <c r="J99" s="41">
        <f>J102</f>
        <v>0</v>
      </c>
      <c r="K99" s="41">
        <f>K102</f>
        <v>0</v>
      </c>
      <c r="L99" s="59"/>
      <c r="M99" s="49"/>
      <c r="P99" s="67">
        <v>720</v>
      </c>
    </row>
    <row r="100" spans="3:16" ht="12.75" x14ac:dyDescent="0.2">
      <c r="C100" s="5"/>
      <c r="D100" s="39" t="s">
        <v>178</v>
      </c>
      <c r="E100" s="34" t="s">
        <v>179</v>
      </c>
      <c r="F100" s="12" t="s">
        <v>180</v>
      </c>
      <c r="G100" s="13">
        <f t="shared" si="0"/>
        <v>0</v>
      </c>
      <c r="H100" s="40"/>
      <c r="I100" s="40"/>
      <c r="J100" s="40"/>
      <c r="K100" s="40"/>
      <c r="L100" s="59"/>
      <c r="M100" s="49"/>
      <c r="P100" s="67">
        <v>730</v>
      </c>
    </row>
    <row r="101" spans="3:16" ht="12.75" x14ac:dyDescent="0.2">
      <c r="C101" s="5"/>
      <c r="D101" s="39" t="s">
        <v>181</v>
      </c>
      <c r="E101" s="35" t="s">
        <v>182</v>
      </c>
      <c r="F101" s="12" t="s">
        <v>183</v>
      </c>
      <c r="G101" s="13">
        <f t="shared" si="0"/>
        <v>0</v>
      </c>
      <c r="H101" s="40"/>
      <c r="I101" s="40"/>
      <c r="J101" s="40"/>
      <c r="K101" s="40"/>
      <c r="L101" s="59"/>
      <c r="M101" s="49"/>
      <c r="P101" s="67"/>
    </row>
    <row r="102" spans="3:16" ht="12.75" x14ac:dyDescent="0.2">
      <c r="C102" s="5"/>
      <c r="D102" s="39" t="s">
        <v>184</v>
      </c>
      <c r="E102" s="34" t="s">
        <v>185</v>
      </c>
      <c r="F102" s="12" t="s">
        <v>186</v>
      </c>
      <c r="G102" s="13">
        <f t="shared" si="0"/>
        <v>0</v>
      </c>
      <c r="H102" s="40"/>
      <c r="I102" s="40"/>
      <c r="J102" s="40"/>
      <c r="K102" s="40"/>
      <c r="L102" s="59"/>
      <c r="M102" s="49"/>
      <c r="P102" s="67">
        <v>740</v>
      </c>
    </row>
    <row r="103" spans="3:16" ht="12.75" x14ac:dyDescent="0.2">
      <c r="C103" s="5"/>
      <c r="D103" s="39" t="s">
        <v>187</v>
      </c>
      <c r="E103" s="11" t="s">
        <v>188</v>
      </c>
      <c r="F103" s="12" t="s">
        <v>189</v>
      </c>
      <c r="G103" s="13">
        <f t="shared" si="0"/>
        <v>0</v>
      </c>
      <c r="H103" s="41">
        <f>H104+H120</f>
        <v>0</v>
      </c>
      <c r="I103" s="41">
        <f>I104+I120</f>
        <v>0</v>
      </c>
      <c r="J103" s="41">
        <f>J104+J120</f>
        <v>0</v>
      </c>
      <c r="K103" s="41">
        <f>K104+K120</f>
        <v>0</v>
      </c>
      <c r="L103" s="59"/>
      <c r="M103" s="49"/>
      <c r="P103" s="67">
        <v>750</v>
      </c>
    </row>
    <row r="104" spans="3:16" ht="12.75" x14ac:dyDescent="0.2">
      <c r="C104" s="5"/>
      <c r="D104" s="39" t="s">
        <v>190</v>
      </c>
      <c r="E104" s="14" t="s">
        <v>191</v>
      </c>
      <c r="F104" s="12" t="s">
        <v>192</v>
      </c>
      <c r="G104" s="13">
        <f t="shared" si="0"/>
        <v>0</v>
      </c>
      <c r="H104" s="41">
        <f>H105+H106</f>
        <v>0</v>
      </c>
      <c r="I104" s="41">
        <f>I105+I106</f>
        <v>0</v>
      </c>
      <c r="J104" s="41">
        <f>J105+J106</f>
        <v>0</v>
      </c>
      <c r="K104" s="41">
        <f>K105+K106</f>
        <v>0</v>
      </c>
      <c r="L104" s="59"/>
      <c r="M104" s="49"/>
      <c r="P104" s="67">
        <v>760</v>
      </c>
    </row>
    <row r="105" spans="3:16" ht="12.75" x14ac:dyDescent="0.2">
      <c r="C105" s="5"/>
      <c r="D105" s="39" t="s">
        <v>193</v>
      </c>
      <c r="E105" s="34" t="s">
        <v>194</v>
      </c>
      <c r="F105" s="12" t="s">
        <v>195</v>
      </c>
      <c r="G105" s="13">
        <f t="shared" si="0"/>
        <v>0</v>
      </c>
      <c r="H105" s="40"/>
      <c r="I105" s="40"/>
      <c r="J105" s="40"/>
      <c r="K105" s="40"/>
      <c r="L105" s="59"/>
      <c r="M105" s="49"/>
      <c r="P105" s="67"/>
    </row>
    <row r="106" spans="3:16" ht="12.75" x14ac:dyDescent="0.2">
      <c r="C106" s="5"/>
      <c r="D106" s="39" t="s">
        <v>196</v>
      </c>
      <c r="E106" s="34" t="s">
        <v>197</v>
      </c>
      <c r="F106" s="12" t="s">
        <v>198</v>
      </c>
      <c r="G106" s="13">
        <f t="shared" si="0"/>
        <v>0</v>
      </c>
      <c r="H106" s="41">
        <f>H107+H110+H113+H116+H117+H118+H119</f>
        <v>0</v>
      </c>
      <c r="I106" s="41">
        <f>I107+I110+I113+I116+I117+I118+I119</f>
        <v>0</v>
      </c>
      <c r="J106" s="41">
        <f>J107+J110+J113+J116+J117+J118+J119</f>
        <v>0</v>
      </c>
      <c r="K106" s="41">
        <f>K107+K110+K113+K116+K117+K118+K119</f>
        <v>0</v>
      </c>
      <c r="L106" s="59"/>
      <c r="M106" s="49"/>
      <c r="P106" s="67"/>
    </row>
    <row r="107" spans="3:16" ht="45" x14ac:dyDescent="0.2">
      <c r="C107" s="5"/>
      <c r="D107" s="39" t="s">
        <v>199</v>
      </c>
      <c r="E107" s="35" t="s">
        <v>200</v>
      </c>
      <c r="F107" s="12" t="s">
        <v>201</v>
      </c>
      <c r="G107" s="13">
        <f t="shared" si="0"/>
        <v>0</v>
      </c>
      <c r="H107" s="42">
        <f>H108+H109</f>
        <v>0</v>
      </c>
      <c r="I107" s="42">
        <f>I108+I109</f>
        <v>0</v>
      </c>
      <c r="J107" s="42">
        <f>J108+J109</f>
        <v>0</v>
      </c>
      <c r="K107" s="42">
        <f>K108+K109</f>
        <v>0</v>
      </c>
      <c r="L107" s="59"/>
      <c r="M107" s="49"/>
      <c r="P107" s="67"/>
    </row>
    <row r="108" spans="3:16" ht="12.75" x14ac:dyDescent="0.2">
      <c r="C108" s="5"/>
      <c r="D108" s="39" t="s">
        <v>202</v>
      </c>
      <c r="E108" s="43" t="s">
        <v>203</v>
      </c>
      <c r="F108" s="12" t="s">
        <v>204</v>
      </c>
      <c r="G108" s="13">
        <f t="shared" si="0"/>
        <v>0</v>
      </c>
      <c r="H108" s="40"/>
      <c r="I108" s="40"/>
      <c r="J108" s="40"/>
      <c r="K108" s="40"/>
      <c r="L108" s="59"/>
      <c r="M108" s="49"/>
      <c r="P108" s="67"/>
    </row>
    <row r="109" spans="3:16" ht="12.75" x14ac:dyDescent="0.2">
      <c r="C109" s="5"/>
      <c r="D109" s="39" t="s">
        <v>205</v>
      </c>
      <c r="E109" s="43" t="s">
        <v>206</v>
      </c>
      <c r="F109" s="12" t="s">
        <v>207</v>
      </c>
      <c r="G109" s="13">
        <f t="shared" si="0"/>
        <v>0</v>
      </c>
      <c r="H109" s="40"/>
      <c r="I109" s="40"/>
      <c r="J109" s="40"/>
      <c r="K109" s="40"/>
      <c r="L109" s="59"/>
      <c r="M109" s="49"/>
      <c r="P109" s="67"/>
    </row>
    <row r="110" spans="3:16" ht="45" x14ac:dyDescent="0.2">
      <c r="C110" s="5"/>
      <c r="D110" s="39" t="s">
        <v>208</v>
      </c>
      <c r="E110" s="35" t="s">
        <v>209</v>
      </c>
      <c r="F110" s="12" t="s">
        <v>210</v>
      </c>
      <c r="G110" s="13">
        <f t="shared" si="0"/>
        <v>0</v>
      </c>
      <c r="H110" s="42">
        <f>H111+H112</f>
        <v>0</v>
      </c>
      <c r="I110" s="42">
        <f>I111+I112</f>
        <v>0</v>
      </c>
      <c r="J110" s="42">
        <f>J111+J112</f>
        <v>0</v>
      </c>
      <c r="K110" s="42">
        <f>K111+K112</f>
        <v>0</v>
      </c>
      <c r="L110" s="59"/>
      <c r="M110" s="49"/>
      <c r="P110" s="67"/>
    </row>
    <row r="111" spans="3:16" ht="12.75" x14ac:dyDescent="0.2">
      <c r="C111" s="5"/>
      <c r="D111" s="39" t="s">
        <v>211</v>
      </c>
      <c r="E111" s="43" t="s">
        <v>203</v>
      </c>
      <c r="F111" s="12" t="s">
        <v>212</v>
      </c>
      <c r="G111" s="13">
        <f t="shared" si="0"/>
        <v>0</v>
      </c>
      <c r="H111" s="40"/>
      <c r="I111" s="40"/>
      <c r="J111" s="40"/>
      <c r="K111" s="40"/>
      <c r="L111" s="59"/>
      <c r="M111" s="49"/>
      <c r="P111" s="67"/>
    </row>
    <row r="112" spans="3:16" ht="12.75" x14ac:dyDescent="0.2">
      <c r="C112" s="5"/>
      <c r="D112" s="39" t="s">
        <v>213</v>
      </c>
      <c r="E112" s="43" t="s">
        <v>206</v>
      </c>
      <c r="F112" s="12" t="s">
        <v>214</v>
      </c>
      <c r="G112" s="13">
        <f t="shared" si="0"/>
        <v>0</v>
      </c>
      <c r="H112" s="40"/>
      <c r="I112" s="40"/>
      <c r="J112" s="40"/>
      <c r="K112" s="40"/>
      <c r="L112" s="59"/>
      <c r="M112" s="49"/>
      <c r="P112" s="67"/>
    </row>
    <row r="113" spans="3:16" ht="22.5" x14ac:dyDescent="0.2">
      <c r="C113" s="5"/>
      <c r="D113" s="39" t="s">
        <v>215</v>
      </c>
      <c r="E113" s="35" t="s">
        <v>216</v>
      </c>
      <c r="F113" s="12" t="s">
        <v>217</v>
      </c>
      <c r="G113" s="13">
        <f t="shared" si="0"/>
        <v>0</v>
      </c>
      <c r="H113" s="42">
        <f>H114+H115</f>
        <v>0</v>
      </c>
      <c r="I113" s="42">
        <f>I114+I115</f>
        <v>0</v>
      </c>
      <c r="J113" s="42">
        <f>J114+J115</f>
        <v>0</v>
      </c>
      <c r="K113" s="42">
        <f>K114+K115</f>
        <v>0</v>
      </c>
      <c r="L113" s="59"/>
      <c r="M113" s="49"/>
      <c r="P113" s="67"/>
    </row>
    <row r="114" spans="3:16" ht="12.75" x14ac:dyDescent="0.2">
      <c r="C114" s="5"/>
      <c r="D114" s="39" t="s">
        <v>218</v>
      </c>
      <c r="E114" s="43" t="s">
        <v>203</v>
      </c>
      <c r="F114" s="12" t="s">
        <v>219</v>
      </c>
      <c r="G114" s="13">
        <f t="shared" si="0"/>
        <v>0</v>
      </c>
      <c r="H114" s="40"/>
      <c r="I114" s="40"/>
      <c r="J114" s="40"/>
      <c r="K114" s="40"/>
      <c r="L114" s="59"/>
      <c r="M114" s="49"/>
      <c r="P114" s="67"/>
    </row>
    <row r="115" spans="3:16" ht="12.75" x14ac:dyDescent="0.2">
      <c r="C115" s="5"/>
      <c r="D115" s="39" t="s">
        <v>220</v>
      </c>
      <c r="E115" s="43" t="s">
        <v>206</v>
      </c>
      <c r="F115" s="12" t="s">
        <v>221</v>
      </c>
      <c r="G115" s="13">
        <f t="shared" si="0"/>
        <v>0</v>
      </c>
      <c r="H115" s="40"/>
      <c r="I115" s="40"/>
      <c r="J115" s="40"/>
      <c r="K115" s="40"/>
      <c r="L115" s="59"/>
      <c r="M115" s="49"/>
      <c r="P115" s="67"/>
    </row>
    <row r="116" spans="3:16" ht="22.5" x14ac:dyDescent="0.2">
      <c r="C116" s="5"/>
      <c r="D116" s="39" t="s">
        <v>222</v>
      </c>
      <c r="E116" s="35" t="s">
        <v>223</v>
      </c>
      <c r="F116" s="12" t="s">
        <v>224</v>
      </c>
      <c r="G116" s="13">
        <f t="shared" si="0"/>
        <v>0</v>
      </c>
      <c r="H116" s="40"/>
      <c r="I116" s="40"/>
      <c r="J116" s="40"/>
      <c r="K116" s="40"/>
      <c r="L116" s="59"/>
      <c r="M116" s="49"/>
      <c r="P116" s="67"/>
    </row>
    <row r="117" spans="3:16" ht="12.75" x14ac:dyDescent="0.2">
      <c r="C117" s="5"/>
      <c r="D117" s="39" t="s">
        <v>225</v>
      </c>
      <c r="E117" s="35" t="s">
        <v>226</v>
      </c>
      <c r="F117" s="12" t="s">
        <v>227</v>
      </c>
      <c r="G117" s="13">
        <f t="shared" si="0"/>
        <v>0</v>
      </c>
      <c r="H117" s="40"/>
      <c r="I117" s="40"/>
      <c r="J117" s="40"/>
      <c r="K117" s="40"/>
      <c r="L117" s="59"/>
      <c r="M117" s="49"/>
      <c r="P117" s="67"/>
    </row>
    <row r="118" spans="3:16" ht="45" x14ac:dyDescent="0.2">
      <c r="C118" s="5"/>
      <c r="D118" s="39" t="s">
        <v>228</v>
      </c>
      <c r="E118" s="35" t="s">
        <v>229</v>
      </c>
      <c r="F118" s="12" t="s">
        <v>230</v>
      </c>
      <c r="G118" s="13">
        <f t="shared" si="0"/>
        <v>0</v>
      </c>
      <c r="H118" s="40"/>
      <c r="I118" s="40"/>
      <c r="J118" s="40"/>
      <c r="K118" s="40"/>
      <c r="L118" s="59"/>
      <c r="M118" s="49"/>
      <c r="P118" s="67"/>
    </row>
    <row r="119" spans="3:16" ht="22.5" x14ac:dyDescent="0.2">
      <c r="C119" s="5"/>
      <c r="D119" s="39" t="s">
        <v>231</v>
      </c>
      <c r="E119" s="35" t="s">
        <v>232</v>
      </c>
      <c r="F119" s="12" t="s">
        <v>233</v>
      </c>
      <c r="G119" s="13">
        <f t="shared" si="0"/>
        <v>0</v>
      </c>
      <c r="H119" s="40"/>
      <c r="I119" s="40"/>
      <c r="J119" s="40"/>
      <c r="K119" s="40"/>
      <c r="L119" s="59"/>
      <c r="M119" s="49"/>
      <c r="P119" s="67"/>
    </row>
    <row r="120" spans="3:16" ht="12.75" x14ac:dyDescent="0.2">
      <c r="C120" s="5"/>
      <c r="D120" s="39" t="s">
        <v>234</v>
      </c>
      <c r="E120" s="14" t="s">
        <v>235</v>
      </c>
      <c r="F120" s="12" t="s">
        <v>236</v>
      </c>
      <c r="G120" s="13">
        <f t="shared" si="0"/>
        <v>0</v>
      </c>
      <c r="H120" s="41">
        <f>H123</f>
        <v>0</v>
      </c>
      <c r="I120" s="41">
        <f>I123</f>
        <v>0</v>
      </c>
      <c r="J120" s="41">
        <f>J123</f>
        <v>0</v>
      </c>
      <c r="K120" s="41">
        <f>K123</f>
        <v>0</v>
      </c>
      <c r="L120" s="59"/>
      <c r="M120" s="49"/>
      <c r="P120" s="67">
        <v>770</v>
      </c>
    </row>
    <row r="121" spans="3:16" ht="12.75" x14ac:dyDescent="0.2">
      <c r="C121" s="5"/>
      <c r="D121" s="39" t="s">
        <v>237</v>
      </c>
      <c r="E121" s="34" t="s">
        <v>179</v>
      </c>
      <c r="F121" s="12" t="s">
        <v>238</v>
      </c>
      <c r="G121" s="13">
        <f t="shared" si="0"/>
        <v>0</v>
      </c>
      <c r="H121" s="40"/>
      <c r="I121" s="40"/>
      <c r="J121" s="40"/>
      <c r="K121" s="40"/>
      <c r="L121" s="59"/>
      <c r="M121" s="49"/>
      <c r="P121" s="67">
        <v>780</v>
      </c>
    </row>
    <row r="122" spans="3:16" ht="12.75" x14ac:dyDescent="0.2">
      <c r="C122" s="5"/>
      <c r="D122" s="39" t="s">
        <v>239</v>
      </c>
      <c r="E122" s="35" t="s">
        <v>240</v>
      </c>
      <c r="F122" s="12" t="s">
        <v>241</v>
      </c>
      <c r="G122" s="13">
        <f t="shared" si="0"/>
        <v>0</v>
      </c>
      <c r="H122" s="40"/>
      <c r="I122" s="40"/>
      <c r="J122" s="40"/>
      <c r="K122" s="40"/>
      <c r="L122" s="59"/>
      <c r="M122" s="49"/>
      <c r="P122" s="67"/>
    </row>
    <row r="123" spans="3:16" ht="12.75" x14ac:dyDescent="0.2">
      <c r="C123" s="5"/>
      <c r="D123" s="39" t="s">
        <v>242</v>
      </c>
      <c r="E123" s="34" t="s">
        <v>185</v>
      </c>
      <c r="F123" s="12" t="s">
        <v>243</v>
      </c>
      <c r="G123" s="13">
        <f t="shared" si="0"/>
        <v>0</v>
      </c>
      <c r="H123" s="40"/>
      <c r="I123" s="40"/>
      <c r="J123" s="40"/>
      <c r="K123" s="40"/>
      <c r="L123" s="59"/>
      <c r="M123" s="49"/>
      <c r="P123" s="67">
        <v>790</v>
      </c>
    </row>
    <row r="124" spans="3:16" ht="22.5" x14ac:dyDescent="0.2">
      <c r="C124" s="5"/>
      <c r="D124" s="39" t="s">
        <v>244</v>
      </c>
      <c r="E124" s="32" t="s">
        <v>245</v>
      </c>
      <c r="F124" s="12" t="s">
        <v>246</v>
      </c>
      <c r="G124" s="13">
        <f t="shared" si="0"/>
        <v>5312.1990000000005</v>
      </c>
      <c r="H124" s="41">
        <f>SUM(H125:H126)</f>
        <v>1.2999999999999999E-2</v>
      </c>
      <c r="I124" s="41">
        <f>SUM(I125:I126)</f>
        <v>2818.6200000000003</v>
      </c>
      <c r="J124" s="41">
        <f>SUM(J125:J126)</f>
        <v>1463.84</v>
      </c>
      <c r="K124" s="41">
        <f>SUM(K125:K126)</f>
        <v>1029.7260000000001</v>
      </c>
      <c r="L124" s="59"/>
      <c r="M124" s="49"/>
      <c r="P124" s="67"/>
    </row>
    <row r="125" spans="3:16" ht="12.75" x14ac:dyDescent="0.2">
      <c r="C125" s="5"/>
      <c r="D125" s="39" t="s">
        <v>247</v>
      </c>
      <c r="E125" s="14" t="s">
        <v>173</v>
      </c>
      <c r="F125" s="12" t="s">
        <v>248</v>
      </c>
      <c r="G125" s="13">
        <f t="shared" si="0"/>
        <v>0</v>
      </c>
      <c r="H125" s="40"/>
      <c r="I125" s="40"/>
      <c r="J125" s="40"/>
      <c r="K125" s="40"/>
      <c r="L125" s="59"/>
      <c r="M125" s="49"/>
      <c r="P125" s="67"/>
    </row>
    <row r="126" spans="3:16" ht="12.75" x14ac:dyDescent="0.2">
      <c r="C126" s="5"/>
      <c r="D126" s="39" t="s">
        <v>249</v>
      </c>
      <c r="E126" s="14" t="s">
        <v>176</v>
      </c>
      <c r="F126" s="12" t="s">
        <v>250</v>
      </c>
      <c r="G126" s="13">
        <f t="shared" si="0"/>
        <v>5312.1990000000005</v>
      </c>
      <c r="H126" s="41">
        <f>H128</f>
        <v>1.2999999999999999E-2</v>
      </c>
      <c r="I126" s="41">
        <f>I128</f>
        <v>2818.6200000000003</v>
      </c>
      <c r="J126" s="41">
        <f>J128</f>
        <v>1463.84</v>
      </c>
      <c r="K126" s="41">
        <f>K128</f>
        <v>1029.7260000000001</v>
      </c>
      <c r="L126" s="59"/>
      <c r="M126" s="49"/>
      <c r="P126" s="67"/>
    </row>
    <row r="127" spans="3:16" ht="12.75" x14ac:dyDescent="0.2">
      <c r="C127" s="5"/>
      <c r="D127" s="39" t="s">
        <v>251</v>
      </c>
      <c r="E127" s="34" t="s">
        <v>252</v>
      </c>
      <c r="F127" s="12" t="s">
        <v>253</v>
      </c>
      <c r="G127" s="13">
        <f t="shared" si="0"/>
        <v>44.622999999999998</v>
      </c>
      <c r="H127" s="40"/>
      <c r="I127" s="40">
        <f>I94</f>
        <v>44.622999999999998</v>
      </c>
      <c r="J127" s="40"/>
      <c r="K127" s="40"/>
      <c r="L127" s="59"/>
      <c r="M127" s="49"/>
      <c r="P127" s="67"/>
    </row>
    <row r="128" spans="3:16" ht="12.75" x14ac:dyDescent="0.2">
      <c r="C128" s="5"/>
      <c r="D128" s="39" t="s">
        <v>254</v>
      </c>
      <c r="E128" s="34" t="s">
        <v>185</v>
      </c>
      <c r="F128" s="12" t="s">
        <v>255</v>
      </c>
      <c r="G128" s="13">
        <f t="shared" si="0"/>
        <v>5312.1990000000005</v>
      </c>
      <c r="H128" s="40">
        <f>H48+H34</f>
        <v>1.2999999999999999E-2</v>
      </c>
      <c r="I128" s="40">
        <f>I34+19.668</f>
        <v>2818.6200000000003</v>
      </c>
      <c r="J128" s="40">
        <f>J34+179/1000+2550/1000+1/1000</f>
        <v>1463.84</v>
      </c>
      <c r="K128" s="40">
        <f>K34</f>
        <v>1029.7260000000001</v>
      </c>
      <c r="L128" s="59"/>
      <c r="M128" s="49"/>
      <c r="P128" s="67"/>
    </row>
    <row r="129" spans="3:16" ht="12.75" x14ac:dyDescent="0.2">
      <c r="C129" s="5"/>
      <c r="D129" s="99" t="s">
        <v>256</v>
      </c>
      <c r="E129" s="100"/>
      <c r="F129" s="100"/>
      <c r="G129" s="100"/>
      <c r="H129" s="100"/>
      <c r="I129" s="100"/>
      <c r="J129" s="100"/>
      <c r="K129" s="101"/>
      <c r="L129" s="59"/>
      <c r="M129" s="49"/>
      <c r="P129" s="71"/>
    </row>
    <row r="130" spans="3:16" ht="22.5" x14ac:dyDescent="0.2">
      <c r="C130" s="5"/>
      <c r="D130" s="39" t="s">
        <v>257</v>
      </c>
      <c r="E130" s="11" t="s">
        <v>258</v>
      </c>
      <c r="F130" s="12" t="s">
        <v>259</v>
      </c>
      <c r="G130" s="13">
        <f t="shared" si="0"/>
        <v>0</v>
      </c>
      <c r="H130" s="41">
        <f>SUM( H131:H132)</f>
        <v>0</v>
      </c>
      <c r="I130" s="41">
        <f>SUM( I131:I132)</f>
        <v>0</v>
      </c>
      <c r="J130" s="41">
        <f>SUM( J131:J132)</f>
        <v>0</v>
      </c>
      <c r="K130" s="41">
        <f>SUM( K131:K132)</f>
        <v>0</v>
      </c>
      <c r="L130" s="59"/>
      <c r="M130" s="49"/>
      <c r="P130" s="67">
        <v>800</v>
      </c>
    </row>
    <row r="131" spans="3:16" ht="12.75" x14ac:dyDescent="0.2">
      <c r="C131" s="5"/>
      <c r="D131" s="39" t="s">
        <v>260</v>
      </c>
      <c r="E131" s="14" t="s">
        <v>173</v>
      </c>
      <c r="F131" s="12" t="s">
        <v>261</v>
      </c>
      <c r="G131" s="13">
        <f t="shared" si="0"/>
        <v>0</v>
      </c>
      <c r="H131" s="40"/>
      <c r="I131" s="40"/>
      <c r="J131" s="40"/>
      <c r="K131" s="40"/>
      <c r="L131" s="59"/>
      <c r="M131" s="49"/>
      <c r="P131" s="67">
        <v>810</v>
      </c>
    </row>
    <row r="132" spans="3:16" ht="12.75" x14ac:dyDescent="0.2">
      <c r="C132" s="5"/>
      <c r="D132" s="39" t="s">
        <v>262</v>
      </c>
      <c r="E132" s="14" t="s">
        <v>176</v>
      </c>
      <c r="F132" s="12" t="s">
        <v>263</v>
      </c>
      <c r="G132" s="13">
        <f t="shared" si="0"/>
        <v>0</v>
      </c>
      <c r="H132" s="41">
        <f>H133+H135</f>
        <v>0</v>
      </c>
      <c r="I132" s="41">
        <f>I133+I135</f>
        <v>0</v>
      </c>
      <c r="J132" s="41">
        <f>J133+J135</f>
        <v>0</v>
      </c>
      <c r="K132" s="41">
        <f>K133+K135</f>
        <v>0</v>
      </c>
      <c r="L132" s="59"/>
      <c r="M132" s="49"/>
      <c r="P132" s="67">
        <v>820</v>
      </c>
    </row>
    <row r="133" spans="3:16" ht="12.75" x14ac:dyDescent="0.2">
      <c r="C133" s="5"/>
      <c r="D133" s="39" t="s">
        <v>264</v>
      </c>
      <c r="E133" s="34" t="s">
        <v>265</v>
      </c>
      <c r="F133" s="12" t="s">
        <v>266</v>
      </c>
      <c r="G133" s="13">
        <f t="shared" si="0"/>
        <v>0</v>
      </c>
      <c r="H133" s="40"/>
      <c r="I133" s="40"/>
      <c r="J133" s="40"/>
      <c r="K133" s="40"/>
      <c r="L133" s="59"/>
      <c r="M133" s="49"/>
      <c r="P133" s="67">
        <v>830</v>
      </c>
    </row>
    <row r="134" spans="3:16" ht="12.75" x14ac:dyDescent="0.2">
      <c r="C134" s="5"/>
      <c r="D134" s="39" t="s">
        <v>267</v>
      </c>
      <c r="E134" s="35" t="s">
        <v>268</v>
      </c>
      <c r="F134" s="12" t="s">
        <v>269</v>
      </c>
      <c r="G134" s="13">
        <f t="shared" si="0"/>
        <v>0</v>
      </c>
      <c r="H134" s="40"/>
      <c r="I134" s="40"/>
      <c r="J134" s="40"/>
      <c r="K134" s="40"/>
      <c r="L134" s="59"/>
      <c r="M134" s="49"/>
      <c r="P134" s="71"/>
    </row>
    <row r="135" spans="3:16" ht="12.75" x14ac:dyDescent="0.2">
      <c r="C135" s="5"/>
      <c r="D135" s="39" t="s">
        <v>270</v>
      </c>
      <c r="E135" s="34" t="s">
        <v>271</v>
      </c>
      <c r="F135" s="12" t="s">
        <v>272</v>
      </c>
      <c r="G135" s="13">
        <f t="shared" si="0"/>
        <v>0</v>
      </c>
      <c r="H135" s="40"/>
      <c r="I135" s="40"/>
      <c r="J135" s="40"/>
      <c r="K135" s="40"/>
      <c r="L135" s="59"/>
      <c r="M135" s="49"/>
      <c r="P135" s="67">
        <v>840</v>
      </c>
    </row>
    <row r="136" spans="3:16" ht="12.75" x14ac:dyDescent="0.2">
      <c r="C136" s="5"/>
      <c r="D136" s="39" t="s">
        <v>19</v>
      </c>
      <c r="E136" s="11" t="s">
        <v>273</v>
      </c>
      <c r="F136" s="12" t="s">
        <v>274</v>
      </c>
      <c r="G136" s="13">
        <f t="shared" si="0"/>
        <v>0</v>
      </c>
      <c r="H136" s="42">
        <f>SUM( H137+H142)</f>
        <v>0</v>
      </c>
      <c r="I136" s="42">
        <f>SUM( I137+I142)</f>
        <v>0</v>
      </c>
      <c r="J136" s="42">
        <f>SUM( J137+J142)</f>
        <v>0</v>
      </c>
      <c r="K136" s="42">
        <f>SUM( K137+K142)</f>
        <v>0</v>
      </c>
      <c r="L136" s="62"/>
      <c r="M136" s="49"/>
      <c r="P136" s="67">
        <v>850</v>
      </c>
    </row>
    <row r="137" spans="3:16" ht="12.75" x14ac:dyDescent="0.2">
      <c r="C137" s="5"/>
      <c r="D137" s="39" t="s">
        <v>275</v>
      </c>
      <c r="E137" s="14" t="s">
        <v>173</v>
      </c>
      <c r="F137" s="12" t="s">
        <v>276</v>
      </c>
      <c r="G137" s="13">
        <f t="shared" ref="G137:G150" si="1">SUM(H137:K137)</f>
        <v>0</v>
      </c>
      <c r="H137" s="42">
        <f>SUM( H138:H139)</f>
        <v>0</v>
      </c>
      <c r="I137" s="42">
        <f>SUM( I138:I139)</f>
        <v>0</v>
      </c>
      <c r="J137" s="42">
        <f>SUM( J138:J139)</f>
        <v>0</v>
      </c>
      <c r="K137" s="42">
        <f>SUM( K138:K139)</f>
        <v>0</v>
      </c>
      <c r="L137" s="62"/>
      <c r="M137" s="49"/>
      <c r="P137" s="67">
        <v>860</v>
      </c>
    </row>
    <row r="138" spans="3:16" ht="12.75" x14ac:dyDescent="0.2">
      <c r="C138" s="5"/>
      <c r="D138" s="39" t="s">
        <v>277</v>
      </c>
      <c r="E138" s="34" t="s">
        <v>194</v>
      </c>
      <c r="F138" s="12" t="s">
        <v>278</v>
      </c>
      <c r="G138" s="13">
        <f t="shared" si="1"/>
        <v>0</v>
      </c>
      <c r="H138" s="44"/>
      <c r="I138" s="44"/>
      <c r="J138" s="44"/>
      <c r="K138" s="44"/>
      <c r="L138" s="62"/>
      <c r="M138" s="49"/>
      <c r="P138" s="67"/>
    </row>
    <row r="139" spans="3:16" ht="12.75" x14ac:dyDescent="0.2">
      <c r="C139" s="5"/>
      <c r="D139" s="39" t="s">
        <v>279</v>
      </c>
      <c r="E139" s="34" t="s">
        <v>197</v>
      </c>
      <c r="F139" s="12" t="s">
        <v>280</v>
      </c>
      <c r="G139" s="13">
        <f t="shared" si="1"/>
        <v>0</v>
      </c>
      <c r="H139" s="42">
        <f>H140+H141</f>
        <v>0</v>
      </c>
      <c r="I139" s="42">
        <f>I140+I141</f>
        <v>0</v>
      </c>
      <c r="J139" s="42">
        <f>J140+J141</f>
        <v>0</v>
      </c>
      <c r="K139" s="42">
        <f>K140+K141</f>
        <v>0</v>
      </c>
      <c r="L139" s="62"/>
      <c r="M139" s="49"/>
      <c r="P139" s="67"/>
    </row>
    <row r="140" spans="3:16" ht="12.75" x14ac:dyDescent="0.2">
      <c r="C140" s="5"/>
      <c r="D140" s="39" t="s">
        <v>281</v>
      </c>
      <c r="E140" s="35" t="s">
        <v>203</v>
      </c>
      <c r="F140" s="12" t="s">
        <v>282</v>
      </c>
      <c r="G140" s="13">
        <f t="shared" si="1"/>
        <v>0</v>
      </c>
      <c r="H140" s="44"/>
      <c r="I140" s="44"/>
      <c r="J140" s="44"/>
      <c r="K140" s="44"/>
      <c r="L140" s="62"/>
      <c r="M140" s="49"/>
      <c r="P140" s="67"/>
    </row>
    <row r="141" spans="3:16" ht="12.75" x14ac:dyDescent="0.2">
      <c r="C141" s="5"/>
      <c r="D141" s="39" t="s">
        <v>283</v>
      </c>
      <c r="E141" s="35" t="s">
        <v>284</v>
      </c>
      <c r="F141" s="12" t="s">
        <v>285</v>
      </c>
      <c r="G141" s="13">
        <f t="shared" si="1"/>
        <v>0</v>
      </c>
      <c r="H141" s="44"/>
      <c r="I141" s="44"/>
      <c r="J141" s="44"/>
      <c r="K141" s="44"/>
      <c r="L141" s="62"/>
      <c r="M141" s="49"/>
      <c r="P141" s="67"/>
    </row>
    <row r="142" spans="3:16" ht="12.75" x14ac:dyDescent="0.2">
      <c r="C142" s="5"/>
      <c r="D142" s="39" t="s">
        <v>286</v>
      </c>
      <c r="E142" s="14" t="s">
        <v>235</v>
      </c>
      <c r="F142" s="12" t="s">
        <v>287</v>
      </c>
      <c r="G142" s="13">
        <f t="shared" si="1"/>
        <v>0</v>
      </c>
      <c r="H142" s="42">
        <f>H143+H145</f>
        <v>0</v>
      </c>
      <c r="I142" s="42">
        <f>I143+I145</f>
        <v>0</v>
      </c>
      <c r="J142" s="42">
        <f>J143+J145</f>
        <v>0</v>
      </c>
      <c r="K142" s="42">
        <f>K143+K145</f>
        <v>0</v>
      </c>
      <c r="L142" s="62"/>
      <c r="M142" s="49"/>
      <c r="P142" s="67">
        <v>870</v>
      </c>
    </row>
    <row r="143" spans="3:16" ht="12.75" x14ac:dyDescent="0.2">
      <c r="C143" s="5"/>
      <c r="D143" s="39" t="s">
        <v>288</v>
      </c>
      <c r="E143" s="34" t="s">
        <v>265</v>
      </c>
      <c r="F143" s="12" t="s">
        <v>289</v>
      </c>
      <c r="G143" s="13">
        <f t="shared" si="1"/>
        <v>0</v>
      </c>
      <c r="H143" s="40"/>
      <c r="I143" s="40"/>
      <c r="J143" s="40"/>
      <c r="K143" s="40"/>
      <c r="L143" s="62"/>
      <c r="M143" s="49"/>
      <c r="P143" s="67">
        <v>880</v>
      </c>
    </row>
    <row r="144" spans="3:16" ht="12.75" x14ac:dyDescent="0.2">
      <c r="C144" s="5"/>
      <c r="D144" s="39" t="s">
        <v>290</v>
      </c>
      <c r="E144" s="35" t="s">
        <v>268</v>
      </c>
      <c r="F144" s="12" t="s">
        <v>291</v>
      </c>
      <c r="G144" s="13">
        <f t="shared" si="1"/>
        <v>0</v>
      </c>
      <c r="H144" s="40"/>
      <c r="I144" s="40"/>
      <c r="J144" s="40"/>
      <c r="K144" s="40"/>
      <c r="L144" s="62"/>
      <c r="M144" s="49"/>
      <c r="P144" s="67"/>
    </row>
    <row r="145" spans="3:19" ht="12.75" x14ac:dyDescent="0.2">
      <c r="C145" s="5"/>
      <c r="D145" s="39" t="s">
        <v>292</v>
      </c>
      <c r="E145" s="34" t="s">
        <v>271</v>
      </c>
      <c r="F145" s="12" t="s">
        <v>293</v>
      </c>
      <c r="G145" s="13">
        <f t="shared" si="1"/>
        <v>0</v>
      </c>
      <c r="H145" s="45"/>
      <c r="I145" s="45"/>
      <c r="J145" s="45"/>
      <c r="K145" s="45"/>
      <c r="L145" s="62"/>
      <c r="M145" s="49"/>
      <c r="P145" s="67">
        <v>890</v>
      </c>
    </row>
    <row r="146" spans="3:19" ht="22.5" x14ac:dyDescent="0.2">
      <c r="C146" s="5"/>
      <c r="D146" s="39" t="s">
        <v>294</v>
      </c>
      <c r="E146" s="11" t="s">
        <v>295</v>
      </c>
      <c r="F146" s="12" t="s">
        <v>296</v>
      </c>
      <c r="G146" s="13">
        <f t="shared" si="1"/>
        <v>3581.9728446959998</v>
      </c>
      <c r="H146" s="46">
        <f>SUM( H147:H148)</f>
        <v>1.3798199999999999E-3</v>
      </c>
      <c r="I146" s="46">
        <f>SUM( I147:I148)</f>
        <v>3317.304369636</v>
      </c>
      <c r="J146" s="46">
        <f>SUM( J147:J148)</f>
        <v>155.37197760000001</v>
      </c>
      <c r="K146" s="46">
        <f>SUM( K147:K148)</f>
        <v>109.29511764000002</v>
      </c>
      <c r="L146" s="62"/>
      <c r="M146" s="49"/>
      <c r="P146" s="67">
        <v>900</v>
      </c>
    </row>
    <row r="147" spans="3:19" ht="12.75" x14ac:dyDescent="0.2">
      <c r="C147" s="5"/>
      <c r="D147" s="39" t="s">
        <v>297</v>
      </c>
      <c r="E147" s="14" t="s">
        <v>173</v>
      </c>
      <c r="F147" s="12" t="s">
        <v>298</v>
      </c>
      <c r="G147" s="13">
        <f t="shared" si="1"/>
        <v>0</v>
      </c>
      <c r="H147" s="45"/>
      <c r="I147" s="45"/>
      <c r="J147" s="45"/>
      <c r="K147" s="45"/>
      <c r="L147" s="62"/>
      <c r="M147" s="49"/>
      <c r="P147" s="67"/>
    </row>
    <row r="148" spans="3:19" ht="12.75" x14ac:dyDescent="0.2">
      <c r="C148" s="5"/>
      <c r="D148" s="39" t="s">
        <v>299</v>
      </c>
      <c r="E148" s="14" t="s">
        <v>176</v>
      </c>
      <c r="F148" s="12" t="s">
        <v>300</v>
      </c>
      <c r="G148" s="13">
        <f t="shared" si="1"/>
        <v>3581.9728446959998</v>
      </c>
      <c r="H148" s="46">
        <f>H149+H150</f>
        <v>1.3798199999999999E-3</v>
      </c>
      <c r="I148" s="46">
        <f>I149+I150</f>
        <v>3317.304369636</v>
      </c>
      <c r="J148" s="46">
        <f>J149+J150</f>
        <v>155.37197760000001</v>
      </c>
      <c r="K148" s="46">
        <f>K149+K150</f>
        <v>109.29511764000002</v>
      </c>
      <c r="L148" s="62"/>
      <c r="M148" s="49"/>
      <c r="P148" s="67"/>
    </row>
    <row r="149" spans="3:19" ht="12.75" x14ac:dyDescent="0.2">
      <c r="C149" s="5"/>
      <c r="D149" s="39" t="s">
        <v>301</v>
      </c>
      <c r="E149" s="34" t="s">
        <v>302</v>
      </c>
      <c r="F149" s="12" t="s">
        <v>303</v>
      </c>
      <c r="G149" s="13">
        <f t="shared" si="1"/>
        <v>3018.1360428359999</v>
      </c>
      <c r="H149" s="45"/>
      <c r="I149" s="45">
        <f>I127*56363.61/1000*1.2</f>
        <v>3018.1360428359999</v>
      </c>
      <c r="J149" s="45"/>
      <c r="K149" s="45"/>
      <c r="L149" s="62"/>
      <c r="M149" s="49"/>
      <c r="P149" s="67" t="s">
        <v>333</v>
      </c>
    </row>
    <row r="150" spans="3:19" ht="12.75" x14ac:dyDescent="0.2">
      <c r="C150" s="5"/>
      <c r="D150" s="39" t="s">
        <v>304</v>
      </c>
      <c r="E150" s="34" t="s">
        <v>271</v>
      </c>
      <c r="F150" s="12" t="s">
        <v>305</v>
      </c>
      <c r="G150" s="13">
        <f t="shared" si="1"/>
        <v>563.83680186000015</v>
      </c>
      <c r="H150" s="45">
        <f>H128*88.45/1000*1.2</f>
        <v>1.3798199999999999E-3</v>
      </c>
      <c r="I150" s="45">
        <f>I128*88.45/1000*1.2</f>
        <v>299.16832680000005</v>
      </c>
      <c r="J150" s="45">
        <f>J128*88.45/1000*1.2</f>
        <v>155.37197760000001</v>
      </c>
      <c r="K150" s="45">
        <f>K128*88.45/1000*1.2</f>
        <v>109.29511764000002</v>
      </c>
      <c r="L150" s="62"/>
      <c r="M150" s="49"/>
      <c r="P150" s="67" t="s">
        <v>334</v>
      </c>
    </row>
    <row r="151" spans="3:19" x14ac:dyDescent="0.25">
      <c r="D151" s="4"/>
      <c r="E151" s="47"/>
      <c r="F151" s="47"/>
      <c r="G151" s="47"/>
      <c r="H151" s="47"/>
      <c r="I151" s="47"/>
      <c r="J151" s="47"/>
      <c r="K151" s="48"/>
      <c r="L151" s="48"/>
      <c r="M151" s="48"/>
      <c r="N151" s="48"/>
      <c r="O151" s="48"/>
      <c r="P151" s="48"/>
      <c r="Q151" s="48"/>
      <c r="R151" s="63"/>
      <c r="S151" s="63"/>
    </row>
    <row r="152" spans="3:19" ht="12.75" x14ac:dyDescent="0.2">
      <c r="E152" s="49" t="s">
        <v>306</v>
      </c>
      <c r="F152" s="108" t="str">
        <f>IF([7]Титульный!G45="","",[7]Титульный!G45)</f>
        <v>экономист</v>
      </c>
      <c r="G152" s="108"/>
      <c r="H152" s="50"/>
      <c r="I152" s="108" t="str">
        <f>IF([7]Титульный!G44="","",[7]Титульный!G44)</f>
        <v>Кривнева Е. В.</v>
      </c>
      <c r="J152" s="108"/>
      <c r="K152" s="108"/>
      <c r="L152" s="50"/>
      <c r="M152" s="72"/>
      <c r="N152" s="72"/>
      <c r="O152" s="52"/>
      <c r="P152" s="48"/>
      <c r="Q152" s="48"/>
      <c r="R152" s="63"/>
      <c r="S152" s="63"/>
    </row>
    <row r="153" spans="3:19" ht="12.75" x14ac:dyDescent="0.2">
      <c r="E153" s="51" t="s">
        <v>307</v>
      </c>
      <c r="F153" s="109" t="s">
        <v>308</v>
      </c>
      <c r="G153" s="109"/>
      <c r="H153" s="52"/>
      <c r="I153" s="109" t="s">
        <v>309</v>
      </c>
      <c r="J153" s="109"/>
      <c r="K153" s="109"/>
      <c r="L153" s="52"/>
      <c r="M153" s="109" t="s">
        <v>335</v>
      </c>
      <c r="N153" s="109"/>
      <c r="O153" s="49"/>
      <c r="P153" s="48"/>
      <c r="Q153" s="48"/>
      <c r="R153" s="63"/>
      <c r="S153" s="63"/>
    </row>
    <row r="154" spans="3:19" ht="12.75" x14ac:dyDescent="0.2">
      <c r="E154" s="51" t="s">
        <v>310</v>
      </c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8"/>
      <c r="Q154" s="48"/>
      <c r="R154" s="63"/>
      <c r="S154" s="63"/>
    </row>
    <row r="155" spans="3:19" ht="12.75" x14ac:dyDescent="0.2">
      <c r="E155" s="51" t="s">
        <v>311</v>
      </c>
      <c r="F155" s="108" t="str">
        <f>IF([7]Титульный!G46="","",[7]Титульный!G46)</f>
        <v>(861) 258-50-71</v>
      </c>
      <c r="G155" s="108"/>
      <c r="H155" s="108"/>
      <c r="I155" s="49"/>
      <c r="J155" s="51" t="s">
        <v>312</v>
      </c>
      <c r="K155" s="92"/>
      <c r="L155" s="49"/>
      <c r="M155" s="49"/>
      <c r="N155" s="49"/>
      <c r="O155" s="49"/>
      <c r="P155" s="48"/>
      <c r="Q155" s="48"/>
      <c r="R155" s="63"/>
      <c r="S155" s="63"/>
    </row>
    <row r="156" spans="3:19" ht="12.75" x14ac:dyDescent="0.2">
      <c r="E156" s="49" t="s">
        <v>313</v>
      </c>
      <c r="F156" s="110" t="s">
        <v>314</v>
      </c>
      <c r="G156" s="110"/>
      <c r="H156" s="110"/>
      <c r="I156" s="49"/>
      <c r="J156" s="53" t="s">
        <v>315</v>
      </c>
      <c r="K156" s="53"/>
      <c r="L156" s="49"/>
      <c r="M156" s="49"/>
      <c r="N156" s="49"/>
      <c r="O156" s="49"/>
      <c r="P156" s="48"/>
      <c r="Q156" s="48"/>
      <c r="R156" s="63"/>
      <c r="S156" s="63"/>
    </row>
    <row r="157" spans="3:19" x14ac:dyDescent="0.25"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63"/>
      <c r="S157" s="63"/>
    </row>
    <row r="158" spans="3:19" x14ac:dyDescent="0.25"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63"/>
      <c r="S158" s="63"/>
    </row>
    <row r="159" spans="3:19" x14ac:dyDescent="0.25"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63"/>
      <c r="S159" s="63"/>
    </row>
    <row r="160" spans="3:19" x14ac:dyDescent="0.25"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63"/>
      <c r="S160" s="63"/>
    </row>
    <row r="161" spans="5:19" x14ac:dyDescent="0.25"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63"/>
      <c r="S161" s="63"/>
    </row>
    <row r="162" spans="5:19" x14ac:dyDescent="0.25"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63"/>
      <c r="S162" s="63"/>
    </row>
    <row r="163" spans="5:19" x14ac:dyDescent="0.25"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63"/>
      <c r="S163" s="63"/>
    </row>
    <row r="164" spans="5:19" x14ac:dyDescent="0.25"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63"/>
      <c r="S164" s="63"/>
    </row>
    <row r="165" spans="5:19" x14ac:dyDescent="0.25"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63"/>
      <c r="S165" s="63"/>
    </row>
    <row r="166" spans="5:19" x14ac:dyDescent="0.25"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63"/>
      <c r="S166" s="63"/>
    </row>
    <row r="167" spans="5:19" x14ac:dyDescent="0.25"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63"/>
      <c r="S167" s="63"/>
    </row>
    <row r="168" spans="5:19" x14ac:dyDescent="0.25"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63"/>
      <c r="S168" s="63"/>
    </row>
    <row r="169" spans="5:19" x14ac:dyDescent="0.25"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63"/>
      <c r="S169" s="63"/>
    </row>
    <row r="170" spans="5:19" x14ac:dyDescent="0.25"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63"/>
      <c r="S170" s="63"/>
    </row>
    <row r="171" spans="5:19" x14ac:dyDescent="0.25"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63"/>
      <c r="S171" s="63"/>
    </row>
    <row r="172" spans="5:19" x14ac:dyDescent="0.25"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63"/>
      <c r="S172" s="63"/>
    </row>
    <row r="173" spans="5:19" x14ac:dyDescent="0.25"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63"/>
      <c r="S173" s="63"/>
    </row>
    <row r="174" spans="5:19" x14ac:dyDescent="0.25"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63"/>
      <c r="S174" s="63"/>
    </row>
    <row r="175" spans="5:19" x14ac:dyDescent="0.25"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63"/>
      <c r="S175" s="63"/>
    </row>
    <row r="176" spans="5:19" x14ac:dyDescent="0.25"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63"/>
      <c r="S176" s="63"/>
    </row>
    <row r="177" spans="5:19" x14ac:dyDescent="0.25"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63"/>
      <c r="S177" s="63"/>
    </row>
    <row r="178" spans="5:19" x14ac:dyDescent="0.25"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63"/>
      <c r="S178" s="63"/>
    </row>
    <row r="179" spans="5:19" x14ac:dyDescent="0.25"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63"/>
      <c r="S179" s="63"/>
    </row>
    <row r="180" spans="5:19" x14ac:dyDescent="0.25"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63"/>
      <c r="S180" s="63"/>
    </row>
    <row r="181" spans="5:19" x14ac:dyDescent="0.25"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63"/>
      <c r="S181" s="63"/>
    </row>
    <row r="182" spans="5:19" x14ac:dyDescent="0.25"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5:19" x14ac:dyDescent="0.25"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5:19" x14ac:dyDescent="0.25"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5:19" x14ac:dyDescent="0.25"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</sheetData>
  <mergeCells count="18">
    <mergeCell ref="F153:G153"/>
    <mergeCell ref="I153:K153"/>
    <mergeCell ref="M153:N153"/>
    <mergeCell ref="F155:H155"/>
    <mergeCell ref="F156:H156"/>
    <mergeCell ref="F152:G152"/>
    <mergeCell ref="I152:K152"/>
    <mergeCell ref="D8:E8"/>
    <mergeCell ref="D11:D12"/>
    <mergeCell ref="E11:E12"/>
    <mergeCell ref="F11:F12"/>
    <mergeCell ref="G11:G12"/>
    <mergeCell ref="H11:K11"/>
    <mergeCell ref="D14:K14"/>
    <mergeCell ref="D53:K53"/>
    <mergeCell ref="D92:K92"/>
    <mergeCell ref="D96:K96"/>
    <mergeCell ref="D129:K129"/>
  </mergeCells>
  <dataValidations count="2">
    <dataValidation allowBlank="1" showInputMessage="1" promptTitle="Ввод" prompt="Для выбора организации необходимо два раза нажать левую клавишу мыши!" sqref="E42 E25:E26 E81 E64:E65"/>
    <dataValidation type="decimal" allowBlank="1" showErrorMessage="1" errorTitle="Ошибка" error="Допускается ввод только действительных чисел!" sqref="G62:K65 G93:K95 G67:K81 G54:K57 G83:K91 G97:K128 G23:K26 G44:K52 G28:K42 G130:K150 G59:K60 G20:K21 G15:K18">
      <formula1>-9.99999999999999E+23</formula1>
      <formula2>9.99999999999999E+23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2022-02-07T10:02:17Z</dcterms:modified>
</cp:coreProperties>
</file>